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'!$A$1:$O$78</definedName>
  </definedNames>
  <calcPr fullCalcOnLoad="1"/>
</workbook>
</file>

<file path=xl/sharedStrings.xml><?xml version="1.0" encoding="utf-8"?>
<sst xmlns="http://schemas.openxmlformats.org/spreadsheetml/2006/main" count="94" uniqueCount="70">
  <si>
    <t>340 в т.ч.</t>
  </si>
  <si>
    <t>итого</t>
  </si>
  <si>
    <t>МБОУ Ясиновская СОШ</t>
  </si>
  <si>
    <t>январь</t>
  </si>
  <si>
    <t>питание малообесп.</t>
  </si>
  <si>
    <t>Директор школы</t>
  </si>
  <si>
    <t>О.Н.Максимова</t>
  </si>
  <si>
    <t>Главный  бухгалтер</t>
  </si>
  <si>
    <t>Н.А.Замула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</si>
  <si>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</si>
  <si>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</si>
  <si>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</si>
  <si>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</si>
  <si>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</si>
  <si>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</si>
  <si>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</si>
  <si>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</si>
  <si>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</si>
  <si>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</si>
  <si>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</si>
  <si>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вода питьевая</t>
  </si>
  <si>
    <t>молоко</t>
  </si>
  <si>
    <t>з/плата гарантированная</t>
  </si>
  <si>
    <t>премии</t>
  </si>
  <si>
    <t>612 заработная плата  211</t>
  </si>
  <si>
    <t>612 начисления на з/плату 213</t>
  </si>
  <si>
    <t>211+213</t>
  </si>
  <si>
    <t>611 з/п</t>
  </si>
  <si>
    <t xml:space="preserve">Финансирование з/плата </t>
  </si>
  <si>
    <t>Остаток на л/счете з/плата</t>
  </si>
  <si>
    <t>Финансирование питание</t>
  </si>
  <si>
    <t>Остаток на л/счете питание</t>
  </si>
  <si>
    <t>Итого расход по з/плате и начислениям на з/плату</t>
  </si>
  <si>
    <t>Финансирование з/плата кух.работников</t>
  </si>
  <si>
    <t>Финансирование з/плата несовершеннолетних</t>
  </si>
  <si>
    <t>Финансирование лагерь</t>
  </si>
  <si>
    <t>расход лагерь 340</t>
  </si>
  <si>
    <t xml:space="preserve">№ п/п </t>
  </si>
  <si>
    <t>Остаток на л/счете лагерь</t>
  </si>
  <si>
    <t>Финансирование тепловые счетчики котельная</t>
  </si>
  <si>
    <t>Финансирование энерго кот</t>
  </si>
  <si>
    <t>расход тепл.счетчики 310</t>
  </si>
  <si>
    <t xml:space="preserve">расход </t>
  </si>
  <si>
    <t>Остаток на л/счете тепл.счетчики</t>
  </si>
  <si>
    <t>Остаток на л/счете энерго кот</t>
  </si>
  <si>
    <t>Финансирование з/плата авто</t>
  </si>
  <si>
    <t>Финансирование авто прочие</t>
  </si>
  <si>
    <t>Остаток на л/счете авто</t>
  </si>
  <si>
    <t>ИТОГО сумма финансирования  субсидии</t>
  </si>
  <si>
    <t>з/части</t>
  </si>
  <si>
    <t>бензин</t>
  </si>
  <si>
    <t>ИТОГО расход всех субсидий</t>
  </si>
  <si>
    <t>ИТОГО остаток на л/счете по всем субсидиям</t>
  </si>
  <si>
    <t>Итого расход по авто прочие</t>
  </si>
  <si>
    <t>калибровка тахографа</t>
  </si>
  <si>
    <t>Финансирование лагерь вода</t>
  </si>
  <si>
    <t>расход лагерь вода 340</t>
  </si>
  <si>
    <t>Остаток на л/счете лагерь вода</t>
  </si>
  <si>
    <t>226                                           поверка весов</t>
  </si>
  <si>
    <t>225                                               техосмотр</t>
  </si>
  <si>
    <t xml:space="preserve">м/о водителя </t>
  </si>
  <si>
    <t>м/о водителя предр и послер.</t>
  </si>
  <si>
    <t>м/осмотр кух.работников</t>
  </si>
  <si>
    <t>тех.обслуживание</t>
  </si>
  <si>
    <t>страховка автобуса</t>
  </si>
  <si>
    <t>20-ти час переподготовка водителя</t>
  </si>
  <si>
    <t>Информация о расходовании средств субсидии 21 л/счет  за январь-декабрь 2018 год</t>
  </si>
  <si>
    <t>290 транспортный налог ,госпошлина         290</t>
  </si>
  <si>
    <t>моющие, дезсредства</t>
  </si>
  <si>
    <t>310 кух.инвентарь, водонагреватель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</si>
</sst>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4" borderId="11" xfId="0" applyNumberFormat="1" applyFont="1" applyFill="1" applyBorder="1" applyAlignment="1">
      <alignment wrapText="1"/>
    </xf>
    <xf numFmtId="180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 wrapText="1"/>
    </xf>
    <xf numFmtId="2" fontId="5" fillId="4" borderId="10" xfId="0" applyNumberFormat="1" applyFont="1" applyFill="1" applyBorder="1" applyAlignment="1">
      <alignment horizontal="center" wrapText="1"/>
    </xf>
    <xf numFmtId="2" fontId="5" fillId="4" borderId="10" xfId="0" applyNumberFormat="1" applyFont="1" applyFill="1" applyBorder="1" applyAlignment="1">
      <alignment horizontal="right" wrapText="1"/>
    </xf>
    <xf numFmtId="2" fontId="5" fillId="4" borderId="11" xfId="0" applyNumberFormat="1" applyFont="1" applyFill="1" applyBorder="1" applyAlignment="1">
      <alignment horizontal="right" wrapText="1"/>
    </xf>
    <xf numFmtId="184" fontId="5" fillId="4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183" fontId="5" fillId="0" borderId="10" xfId="0" applyNumberFormat="1" applyFont="1" applyFill="1" applyBorder="1" applyAlignment="1">
      <alignment horizontal="right" wrapText="1"/>
    </xf>
    <xf numFmtId="2" fontId="5" fillId="0" borderId="11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center" wrapText="1"/>
    </xf>
    <xf numFmtId="183" fontId="5" fillId="12" borderId="10" xfId="0" applyNumberFormat="1" applyFont="1" applyFill="1" applyBorder="1" applyAlignment="1">
      <alignment horizontal="right" wrapText="1"/>
    </xf>
    <xf numFmtId="2" fontId="5" fillId="12" borderId="10" xfId="0" applyNumberFormat="1" applyFont="1" applyFill="1" applyBorder="1" applyAlignment="1">
      <alignment wrapText="1"/>
    </xf>
    <xf numFmtId="2" fontId="5" fillId="12" borderId="11" xfId="0" applyNumberFormat="1" applyFont="1" applyFill="1" applyBorder="1" applyAlignment="1">
      <alignment horizontal="right" wrapText="1"/>
    </xf>
    <xf numFmtId="2" fontId="5" fillId="12" borderId="10" xfId="0" applyNumberFormat="1" applyFont="1" applyFill="1" applyBorder="1" applyAlignment="1">
      <alignment horizontal="center" wrapText="1"/>
    </xf>
    <xf numFmtId="2" fontId="5" fillId="12" borderId="10" xfId="0" applyNumberFormat="1" applyFont="1" applyFill="1" applyBorder="1" applyAlignment="1">
      <alignment horizontal="right" wrapText="1"/>
    </xf>
    <xf numFmtId="183" fontId="5" fillId="0" borderId="11" xfId="0" applyNumberFormat="1" applyFont="1" applyFill="1" applyBorder="1" applyAlignment="1">
      <alignment wrapText="1"/>
    </xf>
    <xf numFmtId="183" fontId="5" fillId="32" borderId="11" xfId="0" applyNumberFormat="1" applyFont="1" applyFill="1" applyBorder="1" applyAlignment="1">
      <alignment wrapText="1"/>
    </xf>
    <xf numFmtId="2" fontId="5" fillId="32" borderId="10" xfId="0" applyNumberFormat="1" applyFont="1" applyFill="1" applyBorder="1" applyAlignment="1">
      <alignment horizontal="center" wrapText="1"/>
    </xf>
    <xf numFmtId="184" fontId="5" fillId="32" borderId="11" xfId="0" applyNumberFormat="1" applyFont="1" applyFill="1" applyBorder="1" applyAlignment="1">
      <alignment/>
    </xf>
    <xf numFmtId="183" fontId="5" fillId="12" borderId="11" xfId="0" applyNumberFormat="1" applyFont="1" applyFill="1" applyBorder="1" applyAlignment="1">
      <alignment wrapText="1"/>
    </xf>
    <xf numFmtId="184" fontId="5" fillId="12" borderId="11" xfId="0" applyNumberFormat="1" applyFont="1" applyFill="1" applyBorder="1" applyAlignment="1">
      <alignment/>
    </xf>
    <xf numFmtId="183" fontId="5" fillId="32" borderId="0" xfId="0" applyNumberFormat="1" applyFont="1" applyFill="1" applyBorder="1" applyAlignment="1">
      <alignment wrapText="1"/>
    </xf>
    <xf numFmtId="183" fontId="5" fillId="0" borderId="0" xfId="0" applyNumberFormat="1" applyFont="1" applyFill="1" applyBorder="1" applyAlignment="1">
      <alignment wrapText="1"/>
    </xf>
    <xf numFmtId="184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 wrapText="1"/>
    </xf>
    <xf numFmtId="184" fontId="5" fillId="33" borderId="10" xfId="0" applyNumberFormat="1" applyFont="1" applyFill="1" applyBorder="1" applyAlignment="1">
      <alignment/>
    </xf>
    <xf numFmtId="184" fontId="5" fillId="33" borderId="11" xfId="0" applyNumberFormat="1" applyFont="1" applyFill="1" applyBorder="1" applyAlignment="1">
      <alignment/>
    </xf>
    <xf numFmtId="183" fontId="5" fillId="0" borderId="12" xfId="0" applyNumberFormat="1" applyFont="1" applyFill="1" applyBorder="1" applyAlignment="1">
      <alignment wrapText="1"/>
    </xf>
    <xf numFmtId="183" fontId="5" fillId="4" borderId="13" xfId="0" applyNumberFormat="1" applyFont="1" applyFill="1" applyBorder="1" applyAlignment="1">
      <alignment wrapText="1"/>
    </xf>
    <xf numFmtId="183" fontId="5" fillId="12" borderId="12" xfId="0" applyNumberFormat="1" applyFont="1" applyFill="1" applyBorder="1" applyAlignment="1">
      <alignment horizontal="right" wrapText="1"/>
    </xf>
    <xf numFmtId="183" fontId="5" fillId="0" borderId="12" xfId="0" applyNumberFormat="1" applyFont="1" applyFill="1" applyBorder="1" applyAlignment="1">
      <alignment horizontal="right" wrapText="1"/>
    </xf>
    <xf numFmtId="183" fontId="5" fillId="32" borderId="13" xfId="0" applyNumberFormat="1" applyFont="1" applyFill="1" applyBorder="1" applyAlignment="1">
      <alignment wrapText="1"/>
    </xf>
    <xf numFmtId="183" fontId="5" fillId="33" borderId="13" xfId="0" applyNumberFormat="1" applyFont="1" applyFill="1" applyBorder="1" applyAlignment="1">
      <alignment wrapText="1"/>
    </xf>
    <xf numFmtId="183" fontId="5" fillId="12" borderId="13" xfId="0" applyNumberFormat="1" applyFont="1" applyFill="1" applyBorder="1" applyAlignment="1">
      <alignment wrapText="1"/>
    </xf>
    <xf numFmtId="183" fontId="6" fillId="0" borderId="13" xfId="0" applyNumberFormat="1" applyFont="1" applyFill="1" applyBorder="1" applyAlignment="1">
      <alignment horizontal="right" wrapText="1"/>
    </xf>
    <xf numFmtId="183" fontId="5" fillId="12" borderId="13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83" fontId="5" fillId="0" borderId="13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180" fontId="5" fillId="0" borderId="0" xfId="0" applyNumberFormat="1" applyFont="1" applyFill="1" applyBorder="1" applyAlignment="1">
      <alignment/>
    </xf>
    <xf numFmtId="183" fontId="5" fillId="0" borderId="13" xfId="0" applyNumberFormat="1" applyFont="1" applyFill="1" applyBorder="1" applyAlignment="1">
      <alignment wrapText="1"/>
    </xf>
    <xf numFmtId="0" fontId="6" fillId="12" borderId="11" xfId="0" applyFont="1" applyFill="1" applyBorder="1" applyAlignment="1">
      <alignment wrapText="1"/>
    </xf>
    <xf numFmtId="183" fontId="5" fillId="34" borderId="13" xfId="0" applyNumberFormat="1" applyFont="1" applyFill="1" applyBorder="1" applyAlignment="1">
      <alignment wrapText="1"/>
    </xf>
    <xf numFmtId="2" fontId="5" fillId="34" borderId="10" xfId="0" applyNumberFormat="1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right" wrapText="1"/>
    </xf>
    <xf numFmtId="2" fontId="5" fillId="34" borderId="11" xfId="0" applyNumberFormat="1" applyFont="1" applyFill="1" applyBorder="1" applyAlignment="1">
      <alignment horizontal="right" wrapText="1"/>
    </xf>
    <xf numFmtId="183" fontId="6" fillId="35" borderId="13" xfId="0" applyNumberFormat="1" applyFont="1" applyFill="1" applyBorder="1" applyAlignment="1">
      <alignment horizontal="right" wrapText="1"/>
    </xf>
    <xf numFmtId="184" fontId="6" fillId="35" borderId="11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wrapText="1"/>
    </xf>
    <xf numFmtId="180" fontId="5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view="pageBreakPreview" zoomScale="50" zoomScaleSheetLayoutView="50" zoomScalePageLayoutView="0" workbookViewId="0" topLeftCell="A1">
      <selection activeCell="L73" sqref="L73"/>
    </sheetView>
  </sheetViews>
  <sheetFormatPr defaultColWidth="9.140625" defaultRowHeight="12.75"/>
  <cols>
    <col min="1" max="1" width="5.8515625" style="2" customWidth="1"/>
    <col min="2" max="2" width="56.7109375" style="6" customWidth="1"/>
    <col min="3" max="3" width="18.28125" style="3" customWidth="1"/>
    <col min="4" max="4" width="18.140625" style="3" customWidth="1"/>
    <col min="5" max="5" width="19.8515625" style="3" customWidth="1"/>
    <col min="6" max="7" width="18.28125" style="3" customWidth="1"/>
    <col min="8" max="8" width="19.421875" style="3" customWidth="1"/>
    <col min="9" max="9" width="21.140625" style="3" customWidth="1"/>
    <col min="10" max="10" width="17.7109375" style="3" customWidth="1"/>
    <col min="11" max="11" width="18.28125" style="3" customWidth="1"/>
    <col min="12" max="12" width="18.7109375" style="3" customWidth="1"/>
    <col min="13" max="13" width="21.8515625" style="3" customWidth="1"/>
    <col min="14" max="14" width="22.8515625" style="3" customWidth="1"/>
    <col min="15" max="15" width="22.7109375" style="3" customWidth="1"/>
    <col min="16" max="16" width="22.421875" style="2" customWidth="1"/>
    <col min="17" max="17" width="46.7109375" style="2" customWidth="1"/>
    <col min="18" max="18" width="9.140625" style="2" customWidth="1"/>
    <col min="19" max="19" width="24.28125" style="2" customWidth="1"/>
    <col min="20" max="16384" width="9.140625" style="2" customWidth="1"/>
  </cols>
  <sheetData>
    <row r="1" spans="2:19" ht="51" customHeight="1">
      <c r="B1" s="79" t="s">
        <v>66</v>
      </c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7"/>
      <c r="P1" s="23"/>
      <c r="Q1" s="23"/>
      <c r="R1" s="23"/>
      <c r="S1" s="23"/>
    </row>
    <row r="2" spans="2:19" ht="33" customHeight="1">
      <c r="B2" s="77" t="s">
        <v>2</v>
      </c>
      <c r="C2" s="7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28" t="s">
        <v>27</v>
      </c>
      <c r="Q2" s="23"/>
      <c r="R2" s="23"/>
      <c r="S2" s="23"/>
    </row>
    <row r="3" spans="1:26" s="4" customFormat="1" ht="33.75" customHeight="1">
      <c r="A3" s="61" t="s">
        <v>37</v>
      </c>
      <c r="B3" s="52"/>
      <c r="C3" s="12" t="s">
        <v>3</v>
      </c>
      <c r="D3" s="12" t="s">
        <v>9</v>
      </c>
      <c r="E3" s="12" t="s">
        <v>10</v>
      </c>
      <c r="F3" s="12" t="s">
        <v>11</v>
      </c>
      <c r="G3" s="12" t="s">
        <v>12</v>
      </c>
      <c r="H3" s="12" t="s">
        <v>13</v>
      </c>
      <c r="I3" s="12" t="s">
        <v>14</v>
      </c>
      <c r="J3" s="12" t="s">
        <v>15</v>
      </c>
      <c r="K3" s="12" t="s">
        <v>16</v>
      </c>
      <c r="L3" s="12" t="s">
        <v>17</v>
      </c>
      <c r="M3" s="12" t="s">
        <v>18</v>
      </c>
      <c r="N3" s="12" t="s">
        <v>19</v>
      </c>
      <c r="O3" s="13" t="s">
        <v>1</v>
      </c>
      <c r="P3" s="26" t="s">
        <v>26</v>
      </c>
      <c r="Q3" s="7"/>
      <c r="R3" s="24"/>
      <c r="S3" s="24"/>
      <c r="T3" s="5"/>
      <c r="U3" s="5"/>
      <c r="V3" s="5"/>
      <c r="W3" s="5"/>
      <c r="X3" s="5"/>
      <c r="Y3" s="5"/>
      <c r="Z3" s="5"/>
    </row>
    <row r="4" spans="1:26" s="4" customFormat="1" ht="21" customHeight="1">
      <c r="A4" s="62">
        <v>1</v>
      </c>
      <c r="B4" s="53" t="s">
        <v>33</v>
      </c>
      <c r="C4" s="12">
        <v>15000</v>
      </c>
      <c r="D4" s="12">
        <v>20000</v>
      </c>
      <c r="E4" s="12">
        <v>21000</v>
      </c>
      <c r="F4" s="12">
        <v>21000</v>
      </c>
      <c r="G4" s="12">
        <f>21000</f>
        <v>21000</v>
      </c>
      <c r="H4" s="12">
        <v>21000</v>
      </c>
      <c r="I4" s="12">
        <v>90000</v>
      </c>
      <c r="J4" s="12">
        <v>20000</v>
      </c>
      <c r="K4" s="12">
        <v>27000</v>
      </c>
      <c r="L4" s="12">
        <v>19000</v>
      </c>
      <c r="M4" s="12">
        <v>19500</v>
      </c>
      <c r="N4" s="12">
        <v>32300</v>
      </c>
      <c r="O4" s="13">
        <f>SUM(C4:N4)</f>
        <v>326800</v>
      </c>
      <c r="P4" s="26"/>
      <c r="Q4" s="10" t="s">
        <v>28</v>
      </c>
      <c r="R4" s="24"/>
      <c r="S4" s="24"/>
      <c r="T4" s="5"/>
      <c r="U4" s="5"/>
      <c r="V4" s="5"/>
      <c r="W4" s="5"/>
      <c r="X4" s="5"/>
      <c r="Y4" s="5"/>
      <c r="Z4" s="5"/>
    </row>
    <row r="5" spans="1:26" s="4" customFormat="1" ht="21" customHeight="1">
      <c r="A5" s="61"/>
      <c r="B5" s="54" t="s">
        <v>24</v>
      </c>
      <c r="C5" s="36">
        <f>C6+C7</f>
        <v>15000</v>
      </c>
      <c r="D5" s="36">
        <f aca="true" t="shared" si="0" ref="D5:M5">D6+D7</f>
        <v>14268.64</v>
      </c>
      <c r="E5" s="36">
        <f t="shared" si="0"/>
        <v>15268.65</v>
      </c>
      <c r="F5" s="36">
        <f t="shared" si="0"/>
        <v>15268.640000000001</v>
      </c>
      <c r="G5" s="36">
        <f t="shared" si="0"/>
        <v>14846.32</v>
      </c>
      <c r="H5" s="36">
        <f t="shared" si="0"/>
        <v>10366.02</v>
      </c>
      <c r="I5" s="36">
        <f t="shared" si="0"/>
        <v>57509.21</v>
      </c>
      <c r="J5" s="36">
        <f t="shared" si="0"/>
        <v>11500</v>
      </c>
      <c r="K5" s="36">
        <f t="shared" si="0"/>
        <v>24373.3</v>
      </c>
      <c r="L5" s="36">
        <f t="shared" si="0"/>
        <v>17751.78</v>
      </c>
      <c r="M5" s="36">
        <f t="shared" si="0"/>
        <v>12455.88</v>
      </c>
      <c r="N5" s="36">
        <f>N6+N7</f>
        <v>39344.12</v>
      </c>
      <c r="O5" s="37">
        <f>C5+D5+E5+F5+G5+H5+I5+J5+K5+L5+M5+N5</f>
        <v>247952.56</v>
      </c>
      <c r="P5" s="27">
        <f>O5+O8</f>
        <v>326800</v>
      </c>
      <c r="Q5" s="35" t="s">
        <v>24</v>
      </c>
      <c r="R5" s="24"/>
      <c r="S5" s="25"/>
      <c r="T5" s="5"/>
      <c r="U5" s="5"/>
      <c r="V5" s="5"/>
      <c r="W5" s="5"/>
      <c r="X5" s="5"/>
      <c r="Y5" s="5"/>
      <c r="Z5" s="5"/>
    </row>
    <row r="6" spans="1:26" s="4" customFormat="1" ht="21" customHeight="1">
      <c r="A6" s="61"/>
      <c r="B6" s="55" t="s">
        <v>22</v>
      </c>
      <c r="C6" s="31">
        <v>15000</v>
      </c>
      <c r="D6" s="32">
        <f>1320.22+2468+189.78+10290.64</f>
        <v>14268.64</v>
      </c>
      <c r="E6" s="32">
        <f>480.32+2468+189.78+12130.55</f>
        <v>15268.65</v>
      </c>
      <c r="F6" s="32">
        <f>646.32+11964.54+2468+189.78</f>
        <v>15268.640000000001</v>
      </c>
      <c r="G6" s="32">
        <f>146.32+12000+2700</f>
        <v>14846.32</v>
      </c>
      <c r="H6" s="32">
        <f>2964.1+4101.92+3300</f>
        <v>10366.02</v>
      </c>
      <c r="I6" s="33">
        <f>964.1+47524.19+8448+572.92</f>
        <v>57509.21</v>
      </c>
      <c r="J6" s="33">
        <v>11500</v>
      </c>
      <c r="K6" s="33">
        <f>5752+321.3+300+18000</f>
        <v>24373.3</v>
      </c>
      <c r="L6" s="33">
        <f>600+13475+3231+445.78</f>
        <v>17751.78</v>
      </c>
      <c r="M6" s="33">
        <f>12455.88</f>
        <v>12455.88</v>
      </c>
      <c r="N6" s="33">
        <f>11164.1+3244.12+21735.9+3200</f>
        <v>39344.12</v>
      </c>
      <c r="O6" s="30">
        <f>C6+D6+E6+F6+G6+H6+I6+J6+K6+L6+M6+N6</f>
        <v>247952.56</v>
      </c>
      <c r="P6" s="25"/>
      <c r="Q6" s="29" t="s">
        <v>22</v>
      </c>
      <c r="R6" s="24"/>
      <c r="S6" s="25"/>
      <c r="T6" s="5"/>
      <c r="U6" s="5"/>
      <c r="V6" s="5"/>
      <c r="W6" s="5"/>
      <c r="X6" s="5"/>
      <c r="Y6" s="5"/>
      <c r="Z6" s="5"/>
    </row>
    <row r="7" spans="1:26" s="4" customFormat="1" ht="21" customHeight="1">
      <c r="A7" s="61"/>
      <c r="B7" s="55" t="s">
        <v>23</v>
      </c>
      <c r="C7" s="31"/>
      <c r="D7" s="32"/>
      <c r="E7" s="32"/>
      <c r="F7" s="32"/>
      <c r="G7" s="32"/>
      <c r="H7" s="32"/>
      <c r="I7" s="33"/>
      <c r="J7" s="33"/>
      <c r="K7" s="33"/>
      <c r="L7" s="33"/>
      <c r="M7" s="33"/>
      <c r="N7" s="33"/>
      <c r="O7" s="30">
        <f>C7+D7+E7+F7+G7+H7+I7+J7+K7+L7+M7+N7</f>
        <v>0</v>
      </c>
      <c r="P7" s="25"/>
      <c r="Q7" s="29" t="s">
        <v>23</v>
      </c>
      <c r="R7" s="24"/>
      <c r="S7" s="25"/>
      <c r="T7" s="5"/>
      <c r="U7" s="5"/>
      <c r="V7" s="5"/>
      <c r="W7" s="5"/>
      <c r="X7" s="5"/>
      <c r="Y7" s="5"/>
      <c r="Z7" s="5"/>
    </row>
    <row r="8" spans="1:26" s="4" customFormat="1" ht="21" customHeight="1">
      <c r="A8" s="61"/>
      <c r="B8" s="54" t="s">
        <v>25</v>
      </c>
      <c r="C8" s="38"/>
      <c r="D8" s="38">
        <f>37.96+550.36+967.88+4175.16</f>
        <v>5731.36</v>
      </c>
      <c r="E8" s="38">
        <f>37.95+550.36+967.88+4175.16</f>
        <v>5731.35</v>
      </c>
      <c r="F8" s="38">
        <f>37.96+550.37+967.87+4175.16</f>
        <v>5731.36</v>
      </c>
      <c r="G8" s="38">
        <f>640+5200+313.68</f>
        <v>6153.68</v>
      </c>
      <c r="H8" s="38">
        <f>5898.02+650+1200+2885.9</f>
        <v>10633.92</v>
      </c>
      <c r="I8" s="39">
        <f>124.58+1911.45+3271.87+12182.95+15000</f>
        <v>32490.85</v>
      </c>
      <c r="J8" s="39">
        <v>8500</v>
      </c>
      <c r="K8" s="39">
        <f>64.07+928.95+1633.68</f>
        <v>2626.7</v>
      </c>
      <c r="L8" s="39">
        <f>30.44+441.45+776.33</f>
        <v>1248.22</v>
      </c>
      <c r="M8" s="39"/>
      <c r="N8" s="39"/>
      <c r="O8" s="37">
        <f>C8+D8+E8+F8+G8+H8+I8+J8+K8+L8+M8+N8</f>
        <v>78847.43999999999</v>
      </c>
      <c r="P8" s="25"/>
      <c r="Q8" s="35" t="s">
        <v>25</v>
      </c>
      <c r="R8" s="24"/>
      <c r="S8" s="25"/>
      <c r="T8" s="5"/>
      <c r="U8" s="5"/>
      <c r="V8" s="5"/>
      <c r="W8" s="5"/>
      <c r="X8" s="5"/>
      <c r="Y8" s="5"/>
      <c r="Z8" s="5"/>
    </row>
    <row r="9" spans="1:26" s="4" customFormat="1" ht="42.75" customHeight="1">
      <c r="A9" s="61"/>
      <c r="B9" s="55" t="s">
        <v>32</v>
      </c>
      <c r="C9" s="34">
        <f>C5+C8</f>
        <v>15000</v>
      </c>
      <c r="D9" s="34">
        <f aca="true" t="shared" si="1" ref="D9:O9">D5+D8</f>
        <v>20000</v>
      </c>
      <c r="E9" s="34">
        <f t="shared" si="1"/>
        <v>21000</v>
      </c>
      <c r="F9" s="34">
        <f t="shared" si="1"/>
        <v>21000</v>
      </c>
      <c r="G9" s="34">
        <f t="shared" si="1"/>
        <v>21000</v>
      </c>
      <c r="H9" s="34">
        <f>H5+H8</f>
        <v>20999.940000000002</v>
      </c>
      <c r="I9" s="34">
        <f t="shared" si="1"/>
        <v>90000.06</v>
      </c>
      <c r="J9" s="34">
        <f t="shared" si="1"/>
        <v>20000</v>
      </c>
      <c r="K9" s="34">
        <f t="shared" si="1"/>
        <v>27000</v>
      </c>
      <c r="L9" s="34">
        <f t="shared" si="1"/>
        <v>19000</v>
      </c>
      <c r="M9" s="34">
        <f t="shared" si="1"/>
        <v>12455.88</v>
      </c>
      <c r="N9" s="34">
        <f t="shared" si="1"/>
        <v>39344.12</v>
      </c>
      <c r="O9" s="34">
        <f t="shared" si="1"/>
        <v>326800</v>
      </c>
      <c r="P9" s="25"/>
      <c r="Q9" s="29" t="s">
        <v>32</v>
      </c>
      <c r="R9" s="24"/>
      <c r="S9" s="25"/>
      <c r="T9" s="5"/>
      <c r="U9" s="5"/>
      <c r="V9" s="5"/>
      <c r="W9" s="5"/>
      <c r="X9" s="5"/>
      <c r="Y9" s="5"/>
      <c r="Z9" s="5"/>
    </row>
    <row r="10" spans="1:26" s="4" customFormat="1" ht="33" customHeight="1">
      <c r="A10" s="61"/>
      <c r="B10" s="56" t="s">
        <v>29</v>
      </c>
      <c r="C10" s="42">
        <f>C4-C9</f>
        <v>0</v>
      </c>
      <c r="D10" s="42">
        <f>C10+D4-D9</f>
        <v>0</v>
      </c>
      <c r="E10" s="42">
        <f aca="true" t="shared" si="2" ref="E10:K10">D10+E4-E9</f>
        <v>0</v>
      </c>
      <c r="F10" s="42">
        <f t="shared" si="2"/>
        <v>0</v>
      </c>
      <c r="G10" s="42">
        <f t="shared" si="2"/>
        <v>0</v>
      </c>
      <c r="H10" s="42">
        <f t="shared" si="2"/>
        <v>0.059999999997671694</v>
      </c>
      <c r="I10" s="42">
        <f t="shared" si="2"/>
        <v>0</v>
      </c>
      <c r="J10" s="42">
        <f t="shared" si="2"/>
        <v>0</v>
      </c>
      <c r="K10" s="42">
        <f t="shared" si="2"/>
        <v>0</v>
      </c>
      <c r="L10" s="42">
        <f>K10+L4-L9</f>
        <v>0</v>
      </c>
      <c r="M10" s="42">
        <f>L10+M4-M9</f>
        <v>7044.120000000001</v>
      </c>
      <c r="N10" s="42">
        <f>M10+N4-N9</f>
        <v>0</v>
      </c>
      <c r="O10" s="42">
        <f>O4-O5-O8</f>
        <v>0</v>
      </c>
      <c r="P10" s="25"/>
      <c r="Q10" s="41" t="s">
        <v>29</v>
      </c>
      <c r="R10" s="24"/>
      <c r="S10" s="25"/>
      <c r="T10" s="5"/>
      <c r="U10" s="5"/>
      <c r="V10" s="5"/>
      <c r="W10" s="5"/>
      <c r="X10" s="5"/>
      <c r="Y10" s="5"/>
      <c r="Z10" s="5"/>
    </row>
    <row r="11" spans="1:26" s="4" customFormat="1" ht="18" customHeight="1">
      <c r="A11" s="61"/>
      <c r="B11" s="57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25"/>
      <c r="Q11" s="40"/>
      <c r="R11" s="24"/>
      <c r="S11" s="25"/>
      <c r="T11" s="5"/>
      <c r="U11" s="5"/>
      <c r="V11" s="5"/>
      <c r="W11" s="5"/>
      <c r="X11" s="5"/>
      <c r="Y11" s="5"/>
      <c r="Z11" s="5"/>
    </row>
    <row r="12" spans="1:26" s="4" customFormat="1" ht="41.25" customHeight="1">
      <c r="A12" s="62">
        <v>2</v>
      </c>
      <c r="B12" s="53" t="s">
        <v>30</v>
      </c>
      <c r="C12" s="18"/>
      <c r="D12" s="18">
        <v>41277.73</v>
      </c>
      <c r="E12" s="18">
        <f>32333.4</f>
        <v>32333.4</v>
      </c>
      <c r="F12" s="18">
        <f>38932.1</f>
        <v>38932.1</v>
      </c>
      <c r="G12" s="18">
        <f>47710.26</f>
        <v>47710.26</v>
      </c>
      <c r="H12" s="18">
        <v>28837.99</v>
      </c>
      <c r="I12" s="19">
        <f>0.06+4718</f>
        <v>4718.06</v>
      </c>
      <c r="J12" s="19"/>
      <c r="K12" s="19">
        <f>68095.98</f>
        <v>68095.98</v>
      </c>
      <c r="L12" s="19">
        <f>28384.44</f>
        <v>28384.44</v>
      </c>
      <c r="M12" s="19">
        <v>31168.32</v>
      </c>
      <c r="N12" s="19">
        <v>71841.72</v>
      </c>
      <c r="O12" s="20">
        <f>SUM(C12:N12)</f>
        <v>393300</v>
      </c>
      <c r="P12" s="25"/>
      <c r="Q12" s="10" t="s">
        <v>30</v>
      </c>
      <c r="R12" s="24"/>
      <c r="S12" s="25"/>
      <c r="T12" s="5"/>
      <c r="U12" s="5"/>
      <c r="V12" s="5"/>
      <c r="W12" s="5"/>
      <c r="X12" s="5"/>
      <c r="Y12" s="5"/>
      <c r="Z12" s="5"/>
    </row>
    <row r="13" spans="1:26" s="4" customFormat="1" ht="41.25" customHeight="1">
      <c r="A13" s="62"/>
      <c r="B13" s="59" t="s">
        <v>58</v>
      </c>
      <c r="C13" s="9"/>
      <c r="D13" s="9"/>
      <c r="E13" s="9"/>
      <c r="F13" s="9"/>
      <c r="G13" s="9"/>
      <c r="H13" s="9">
        <f>5898.08</f>
        <v>5898.08</v>
      </c>
      <c r="I13" s="9"/>
      <c r="J13" s="9"/>
      <c r="K13" s="9"/>
      <c r="L13" s="9"/>
      <c r="M13" s="9"/>
      <c r="N13" s="9"/>
      <c r="O13" s="20">
        <f>SUM(C13:N13)</f>
        <v>5898.08</v>
      </c>
      <c r="P13" s="25"/>
      <c r="Q13" s="10"/>
      <c r="R13" s="24"/>
      <c r="S13" s="25"/>
      <c r="T13" s="5"/>
      <c r="U13" s="5"/>
      <c r="V13" s="5"/>
      <c r="W13" s="5"/>
      <c r="X13" s="5"/>
      <c r="Y13" s="5"/>
      <c r="Z13" s="5"/>
    </row>
    <row r="14" spans="1:26" s="4" customFormat="1" ht="41.25" customHeight="1">
      <c r="A14" s="62"/>
      <c r="B14" s="59" t="s">
        <v>62</v>
      </c>
      <c r="C14" s="9"/>
      <c r="D14" s="9"/>
      <c r="E14" s="9"/>
      <c r="F14" s="9"/>
      <c r="G14" s="9"/>
      <c r="H14" s="9"/>
      <c r="I14" s="9">
        <v>4718</v>
      </c>
      <c r="J14" s="9"/>
      <c r="K14" s="9"/>
      <c r="L14" s="9"/>
      <c r="M14" s="9"/>
      <c r="N14" s="9"/>
      <c r="O14" s="20">
        <f>SUM(C14:N14)</f>
        <v>4718</v>
      </c>
      <c r="P14" s="25"/>
      <c r="Q14" s="10"/>
      <c r="R14" s="24"/>
      <c r="S14" s="25"/>
      <c r="T14" s="5"/>
      <c r="U14" s="5"/>
      <c r="V14" s="5"/>
      <c r="W14" s="5"/>
      <c r="X14" s="5"/>
      <c r="Y14" s="5"/>
      <c r="Z14" s="5"/>
    </row>
    <row r="15" spans="1:26" s="4" customFormat="1" ht="41.25" customHeight="1">
      <c r="A15" s="62"/>
      <c r="B15" s="75" t="s">
        <v>69</v>
      </c>
      <c r="C15" s="76"/>
      <c r="D15" s="76"/>
      <c r="E15" s="76"/>
      <c r="F15" s="76"/>
      <c r="G15" s="76"/>
      <c r="H15" s="76"/>
      <c r="I15" s="76"/>
      <c r="J15" s="76"/>
      <c r="K15" s="76"/>
      <c r="L15" s="76">
        <v>3861</v>
      </c>
      <c r="M15" s="76"/>
      <c r="N15" s="76">
        <v>9895</v>
      </c>
      <c r="O15" s="20">
        <f>SUM(C15:N15)</f>
        <v>13756</v>
      </c>
      <c r="P15" s="25"/>
      <c r="Q15" s="10"/>
      <c r="R15" s="24"/>
      <c r="S15" s="25"/>
      <c r="T15" s="5"/>
      <c r="U15" s="5"/>
      <c r="V15" s="5"/>
      <c r="W15" s="5"/>
      <c r="X15" s="5"/>
      <c r="Y15" s="5"/>
      <c r="Z15" s="5"/>
    </row>
    <row r="16" spans="1:26" s="11" customFormat="1" ht="34.5" customHeight="1">
      <c r="A16" s="64"/>
      <c r="B16" s="58" t="s">
        <v>0</v>
      </c>
      <c r="C16" s="45">
        <f aca="true" t="shared" si="3" ref="C16:N16">C17+C18+C20</f>
        <v>0</v>
      </c>
      <c r="D16" s="45">
        <f t="shared" si="3"/>
        <v>41277.729999999996</v>
      </c>
      <c r="E16" s="45">
        <f t="shared" si="3"/>
        <v>32333.4</v>
      </c>
      <c r="F16" s="45">
        <f t="shared" si="3"/>
        <v>38932.1</v>
      </c>
      <c r="G16" s="45">
        <f t="shared" si="3"/>
        <v>47710.26</v>
      </c>
      <c r="H16" s="45">
        <f t="shared" si="3"/>
        <v>22939.97</v>
      </c>
      <c r="I16" s="45">
        <f t="shared" si="3"/>
        <v>0</v>
      </c>
      <c r="J16" s="45">
        <f t="shared" si="3"/>
        <v>0</v>
      </c>
      <c r="K16" s="45">
        <f t="shared" si="3"/>
        <v>55052.58000000001</v>
      </c>
      <c r="L16" s="45">
        <f>L17+L18+L20</f>
        <v>37566.84</v>
      </c>
      <c r="M16" s="45">
        <f t="shared" si="3"/>
        <v>31168.32</v>
      </c>
      <c r="N16" s="45">
        <f>N17+N18+N20+N19</f>
        <v>61946.72</v>
      </c>
      <c r="O16" s="45">
        <f>O17+O18+O20+O19</f>
        <v>368927.92</v>
      </c>
      <c r="P16" s="1"/>
      <c r="Q16" s="44" t="s">
        <v>0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63"/>
      <c r="B17" s="59" t="s">
        <v>4</v>
      </c>
      <c r="C17" s="9"/>
      <c r="D17" s="9">
        <f>1232+14301.63+4000+552+636.5+180+1408</f>
        <v>22310.129999999997</v>
      </c>
      <c r="E17" s="9">
        <v>32333.4</v>
      </c>
      <c r="F17" s="9">
        <f>11032.2+7569+3766+4871+1725.5+3036</f>
        <v>31999.7</v>
      </c>
      <c r="G17" s="9">
        <v>47710.26</v>
      </c>
      <c r="H17" s="9">
        <f>7969.32+9580.9+3928+1251.75+210</f>
        <v>22939.97</v>
      </c>
      <c r="I17" s="9"/>
      <c r="J17" s="9"/>
      <c r="K17" s="9">
        <f>2403+1950.08+1240.5+738+300+3896.8+4896.2+2165+1604+1050+1022.5+3996.48+3088.32+8919.6+2745+717.5+150+3600+155+2837+492.8</f>
        <v>47967.780000000006</v>
      </c>
      <c r="L17" s="9">
        <f>17881.44+13043.4</f>
        <v>30924.839999999997</v>
      </c>
      <c r="M17" s="9">
        <v>31168.32</v>
      </c>
      <c r="N17" s="9">
        <v>51896.72</v>
      </c>
      <c r="O17" s="14">
        <f>C17+D17+E17+F17+G17+H17+I17+J17+K17+L17+M17+N17</f>
        <v>319251.12</v>
      </c>
      <c r="P17" s="1"/>
      <c r="Q17" s="8" t="s">
        <v>4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>
      <c r="A18" s="63"/>
      <c r="B18" s="59" t="s">
        <v>20</v>
      </c>
      <c r="C18" s="9"/>
      <c r="D18" s="9">
        <v>10000</v>
      </c>
      <c r="E18" s="9"/>
      <c r="F18" s="9"/>
      <c r="G18" s="9"/>
      <c r="H18" s="9"/>
      <c r="I18" s="9"/>
      <c r="J18" s="9"/>
      <c r="K18" s="9"/>
      <c r="L18" s="76"/>
      <c r="M18" s="9"/>
      <c r="N18" s="9"/>
      <c r="O18" s="14">
        <f>C18+D18+E18+F18+G18+H18+I18+J18+K18+L18+M18+N18</f>
        <v>10000</v>
      </c>
      <c r="P18" s="1"/>
      <c r="Q18" s="8" t="s">
        <v>20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63"/>
      <c r="B19" s="59" t="s">
        <v>68</v>
      </c>
      <c r="C19" s="9"/>
      <c r="D19" s="9"/>
      <c r="E19" s="9"/>
      <c r="F19" s="9"/>
      <c r="G19" s="9"/>
      <c r="H19" s="9"/>
      <c r="I19" s="9"/>
      <c r="J19" s="9"/>
      <c r="K19" s="9"/>
      <c r="L19" s="76"/>
      <c r="M19" s="9"/>
      <c r="N19" s="9">
        <f>6600+3450</f>
        <v>10050</v>
      </c>
      <c r="O19" s="14">
        <f>C19+D19+E19+F19+G19+H19+I19+J19+K19+L19+M19+N19</f>
        <v>10050</v>
      </c>
      <c r="P19" s="1"/>
      <c r="Q19" s="8"/>
      <c r="R19" s="1"/>
      <c r="S19" s="1"/>
      <c r="T19" s="1"/>
      <c r="U19" s="1"/>
      <c r="V19" s="1"/>
      <c r="W19" s="1"/>
      <c r="X19" s="1"/>
      <c r="Y19" s="1"/>
      <c r="Z19" s="1"/>
    </row>
    <row r="20" spans="1:26" ht="35.25" customHeight="1">
      <c r="A20" s="63"/>
      <c r="B20" s="59" t="s">
        <v>21</v>
      </c>
      <c r="C20" s="9"/>
      <c r="D20" s="9">
        <v>8967.6</v>
      </c>
      <c r="E20" s="9"/>
      <c r="F20" s="9">
        <v>6932.4</v>
      </c>
      <c r="G20" s="9"/>
      <c r="H20" s="9"/>
      <c r="I20" s="9"/>
      <c r="J20" s="9"/>
      <c r="K20" s="9">
        <v>7084.8</v>
      </c>
      <c r="L20" s="9">
        <v>6642</v>
      </c>
      <c r="M20" s="9"/>
      <c r="N20" s="9"/>
      <c r="O20" s="14">
        <f>C20+D20+E20+F20+G20+H20+I20+J20+K20+L20+M20+N20</f>
        <v>29626.8</v>
      </c>
      <c r="P20" s="1"/>
      <c r="Q20" s="8" t="s">
        <v>21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s="11" customFormat="1" ht="34.5" customHeight="1">
      <c r="A21" s="64"/>
      <c r="B21" s="56" t="s">
        <v>31</v>
      </c>
      <c r="C21" s="43">
        <f>C12-C16</f>
        <v>0</v>
      </c>
      <c r="D21" s="43">
        <f>C21+D12-D16</f>
        <v>0</v>
      </c>
      <c r="E21" s="43">
        <f>D21+E12-E16</f>
        <v>0</v>
      </c>
      <c r="F21" s="43">
        <f>E21+F12-F16</f>
        <v>0</v>
      </c>
      <c r="G21" s="43">
        <f>F21+G12-G16</f>
        <v>0</v>
      </c>
      <c r="H21" s="43">
        <f aca="true" t="shared" si="4" ref="H21:N21">G21+H12-H16-H13-H14</f>
        <v>-0.05999999999949068</v>
      </c>
      <c r="I21" s="43">
        <f t="shared" si="4"/>
        <v>0</v>
      </c>
      <c r="J21" s="43">
        <f t="shared" si="4"/>
        <v>0</v>
      </c>
      <c r="K21" s="43">
        <f t="shared" si="4"/>
        <v>13043.399999999987</v>
      </c>
      <c r="L21" s="43">
        <f>K21+L12-L16-L13-L14-L15</f>
        <v>-1.4551915228366852E-11</v>
      </c>
      <c r="M21" s="43">
        <f t="shared" si="4"/>
        <v>-1.4551915228366852E-11</v>
      </c>
      <c r="N21" s="43">
        <f>M21+N12-N16-N13-N14-N15</f>
        <v>-1.4551915228366852E-11</v>
      </c>
      <c r="O21" s="43">
        <f>N21+O12-O16-O13-O14-O15</f>
        <v>1.4551915228366852E-11</v>
      </c>
      <c r="P21" s="21"/>
      <c r="Q21" s="41" t="s">
        <v>31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s="11" customFormat="1" ht="18">
      <c r="A22" s="64"/>
      <c r="B22" s="57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  <c r="P22" s="21"/>
      <c r="Q22" s="46"/>
      <c r="R22" s="1"/>
      <c r="S22" s="1"/>
      <c r="T22" s="1"/>
      <c r="U22" s="1"/>
      <c r="V22" s="1"/>
      <c r="W22" s="1"/>
      <c r="X22" s="1"/>
      <c r="Y22" s="1"/>
      <c r="Z22" s="1"/>
    </row>
    <row r="23" spans="1:26" s="11" customFormat="1" ht="18">
      <c r="A23" s="62">
        <v>3</v>
      </c>
      <c r="B23" s="53" t="s">
        <v>45</v>
      </c>
      <c r="C23" s="12">
        <v>15000</v>
      </c>
      <c r="D23" s="12">
        <v>20000</v>
      </c>
      <c r="E23" s="12">
        <v>20000</v>
      </c>
      <c r="F23" s="12">
        <v>20000</v>
      </c>
      <c r="G23" s="12">
        <v>20000</v>
      </c>
      <c r="H23" s="12">
        <v>40000</v>
      </c>
      <c r="I23" s="12">
        <v>25000</v>
      </c>
      <c r="J23" s="12">
        <v>15000</v>
      </c>
      <c r="K23" s="12">
        <f>17000</f>
        <v>17000</v>
      </c>
      <c r="L23" s="12">
        <v>14000</v>
      </c>
      <c r="M23" s="12">
        <v>16300</v>
      </c>
      <c r="N23" s="12">
        <v>22500</v>
      </c>
      <c r="O23" s="13">
        <f>SUM(C23:N23)</f>
        <v>244800</v>
      </c>
      <c r="P23" s="21"/>
      <c r="Q23" s="46"/>
      <c r="R23" s="1"/>
      <c r="S23" s="1"/>
      <c r="T23" s="1"/>
      <c r="U23" s="1"/>
      <c r="V23" s="1"/>
      <c r="W23" s="1"/>
      <c r="X23" s="1"/>
      <c r="Y23" s="1"/>
      <c r="Z23" s="1"/>
    </row>
    <row r="24" spans="1:26" s="11" customFormat="1" ht="18">
      <c r="A24" s="61"/>
      <c r="B24" s="54" t="s">
        <v>24</v>
      </c>
      <c r="C24" s="36">
        <f>C25+C26</f>
        <v>15000</v>
      </c>
      <c r="D24" s="36">
        <f aca="true" t="shared" si="5" ref="D24:M24">D25+D26</f>
        <v>15701.48</v>
      </c>
      <c r="E24" s="36">
        <f t="shared" si="5"/>
        <v>15701.49</v>
      </c>
      <c r="F24" s="36">
        <f t="shared" si="5"/>
        <v>10375.279999999999</v>
      </c>
      <c r="G24" s="36">
        <f t="shared" si="5"/>
        <v>16555.75</v>
      </c>
      <c r="H24" s="36">
        <f t="shared" si="5"/>
        <v>28135.77</v>
      </c>
      <c r="I24" s="36">
        <f t="shared" si="5"/>
        <v>9785.1</v>
      </c>
      <c r="J24" s="36">
        <f t="shared" si="5"/>
        <v>11000</v>
      </c>
      <c r="K24" s="36">
        <f t="shared" si="5"/>
        <v>14038.79</v>
      </c>
      <c r="L24" s="36">
        <f t="shared" si="5"/>
        <v>14000</v>
      </c>
      <c r="M24" s="36">
        <f t="shared" si="5"/>
        <v>16300</v>
      </c>
      <c r="N24" s="36">
        <f>N25+N26</f>
        <v>22500</v>
      </c>
      <c r="O24" s="37">
        <f>C24+D24+E24+F24+G24+H24+I24+J24+K24+L24+M24+N24</f>
        <v>189093.66</v>
      </c>
      <c r="P24" s="21"/>
      <c r="Q24" s="46"/>
      <c r="R24" s="1"/>
      <c r="S24" s="1"/>
      <c r="T24" s="1"/>
      <c r="U24" s="1"/>
      <c r="V24" s="1"/>
      <c r="W24" s="1"/>
      <c r="X24" s="1"/>
      <c r="Y24" s="1"/>
      <c r="Z24" s="1"/>
    </row>
    <row r="25" spans="1:26" s="11" customFormat="1" ht="18">
      <c r="A25" s="61"/>
      <c r="B25" s="55" t="s">
        <v>22</v>
      </c>
      <c r="C25" s="31">
        <v>15000</v>
      </c>
      <c r="D25" s="32">
        <f>660.11+1851+94.89+13095.48</f>
        <v>15701.48</v>
      </c>
      <c r="E25" s="32">
        <f>382.5+1851+94.89+13373.1</f>
        <v>15701.49</v>
      </c>
      <c r="F25" s="32">
        <f>183.5+1851+94.89+1851+94.89+6300</f>
        <v>10375.279999999999</v>
      </c>
      <c r="G25" s="32">
        <f>155.75+14000+2200+200</f>
        <v>16555.75</v>
      </c>
      <c r="H25" s="32">
        <f>50+455.87+900+23629.9+100+3000</f>
        <v>28135.77</v>
      </c>
      <c r="I25" s="33">
        <f>7951.43+872.67+961</f>
        <v>9785.1</v>
      </c>
      <c r="J25" s="33">
        <v>11000</v>
      </c>
      <c r="K25" s="33">
        <f>338.79+13700</f>
        <v>14038.79</v>
      </c>
      <c r="L25" s="33">
        <f>400+13600</f>
        <v>14000</v>
      </c>
      <c r="M25" s="33">
        <v>16300</v>
      </c>
      <c r="N25" s="33">
        <f>11884.95+10128+487.05</f>
        <v>22500</v>
      </c>
      <c r="O25" s="30">
        <f>C25+D25+E25+F25+G25+H25+I25+J25+K25+L25+M25+N25</f>
        <v>189093.66</v>
      </c>
      <c r="P25" s="21"/>
      <c r="Q25" s="46"/>
      <c r="R25" s="1"/>
      <c r="S25" s="1"/>
      <c r="T25" s="1"/>
      <c r="U25" s="1"/>
      <c r="V25" s="1"/>
      <c r="W25" s="1"/>
      <c r="X25" s="1"/>
      <c r="Y25" s="1"/>
      <c r="Z25" s="1"/>
    </row>
    <row r="26" spans="1:26" s="11" customFormat="1" ht="18">
      <c r="A26" s="61"/>
      <c r="B26" s="55" t="s">
        <v>23</v>
      </c>
      <c r="C26" s="31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0">
        <f>C26+D26+E26+F26+G26+H26+I26+J26+K26+L26+M26+N26</f>
        <v>0</v>
      </c>
      <c r="P26" s="21"/>
      <c r="Q26" s="46"/>
      <c r="R26" s="1"/>
      <c r="S26" s="1"/>
      <c r="T26" s="1"/>
      <c r="U26" s="1"/>
      <c r="V26" s="1"/>
      <c r="W26" s="1"/>
      <c r="X26" s="1"/>
      <c r="Y26" s="1"/>
      <c r="Z26" s="1"/>
    </row>
    <row r="27" spans="1:26" s="11" customFormat="1" ht="18">
      <c r="A27" s="61"/>
      <c r="B27" s="54" t="s">
        <v>25</v>
      </c>
      <c r="C27" s="38"/>
      <c r="D27" s="38">
        <f>28.47+412.77+725.91+3131.37</f>
        <v>4298.52</v>
      </c>
      <c r="E27" s="38">
        <f>28.46+412.77+725.91+3131.37</f>
        <v>4298.51</v>
      </c>
      <c r="F27" s="38">
        <f>28.47+412.77+725.91+3131.37+694.83+3131.37</f>
        <v>8124.72</v>
      </c>
      <c r="G27" s="38">
        <f>440+800+3074.25+630</f>
        <v>4944.25</v>
      </c>
      <c r="H27" s="38">
        <f>950+1500+7000+2414.23+5143.5</f>
        <v>17007.73</v>
      </c>
      <c r="I27" s="39">
        <f>17.09+187.79+400.93+1874.16+7591.43</f>
        <v>10071.400000000001</v>
      </c>
      <c r="J27" s="39">
        <v>4000</v>
      </c>
      <c r="K27" s="39">
        <f>60.67+879.7+2020.84</f>
        <v>2961.21</v>
      </c>
      <c r="L27" s="39"/>
      <c r="M27" s="39"/>
      <c r="N27" s="39"/>
      <c r="O27" s="37">
        <f>C27+D27+E27+F27+G27+H27+I27+J27+K27+L27+M27+N27</f>
        <v>55706.34</v>
      </c>
      <c r="P27" s="21"/>
      <c r="Q27" s="46"/>
      <c r="R27" s="1"/>
      <c r="S27" s="1"/>
      <c r="T27" s="1"/>
      <c r="U27" s="1"/>
      <c r="V27" s="1"/>
      <c r="W27" s="1"/>
      <c r="X27" s="1"/>
      <c r="Y27" s="1"/>
      <c r="Z27" s="1"/>
    </row>
    <row r="28" spans="1:26" s="11" customFormat="1" ht="36">
      <c r="A28" s="61"/>
      <c r="B28" s="55" t="s">
        <v>32</v>
      </c>
      <c r="C28" s="34">
        <f>C24+C27</f>
        <v>15000</v>
      </c>
      <c r="D28" s="34">
        <f aca="true" t="shared" si="6" ref="D28:O28">D24+D27</f>
        <v>20000</v>
      </c>
      <c r="E28" s="34">
        <f t="shared" si="6"/>
        <v>20000</v>
      </c>
      <c r="F28" s="34">
        <f t="shared" si="6"/>
        <v>18500</v>
      </c>
      <c r="G28" s="34">
        <f t="shared" si="6"/>
        <v>21500</v>
      </c>
      <c r="H28" s="34">
        <f t="shared" si="6"/>
        <v>45143.5</v>
      </c>
      <c r="I28" s="34">
        <f t="shared" si="6"/>
        <v>19856.5</v>
      </c>
      <c r="J28" s="34">
        <f t="shared" si="6"/>
        <v>15000</v>
      </c>
      <c r="K28" s="34">
        <f t="shared" si="6"/>
        <v>17000</v>
      </c>
      <c r="L28" s="34">
        <f t="shared" si="6"/>
        <v>14000</v>
      </c>
      <c r="M28" s="34">
        <f t="shared" si="6"/>
        <v>16300</v>
      </c>
      <c r="N28" s="34">
        <f t="shared" si="6"/>
        <v>22500</v>
      </c>
      <c r="O28" s="34">
        <f t="shared" si="6"/>
        <v>244800</v>
      </c>
      <c r="P28" s="21"/>
      <c r="Q28" s="46"/>
      <c r="R28" s="1"/>
      <c r="S28" s="1"/>
      <c r="T28" s="1"/>
      <c r="U28" s="1"/>
      <c r="V28" s="1"/>
      <c r="W28" s="1"/>
      <c r="X28" s="1"/>
      <c r="Y28" s="1"/>
      <c r="Z28" s="1"/>
    </row>
    <row r="29" spans="1:26" s="11" customFormat="1" ht="18">
      <c r="A29" s="61"/>
      <c r="B29" s="56" t="s">
        <v>29</v>
      </c>
      <c r="C29" s="42">
        <f>C23-C28</f>
        <v>0</v>
      </c>
      <c r="D29" s="42">
        <f aca="true" t="shared" si="7" ref="D29:N29">C29+D23-D28</f>
        <v>0</v>
      </c>
      <c r="E29" s="42">
        <f t="shared" si="7"/>
        <v>0</v>
      </c>
      <c r="F29" s="42">
        <f t="shared" si="7"/>
        <v>1500</v>
      </c>
      <c r="G29" s="42">
        <f t="shared" si="7"/>
        <v>0</v>
      </c>
      <c r="H29" s="42">
        <f>G29+H23-H28</f>
        <v>-5143.5</v>
      </c>
      <c r="I29" s="42">
        <f t="shared" si="7"/>
        <v>0</v>
      </c>
      <c r="J29" s="42">
        <f t="shared" si="7"/>
        <v>0</v>
      </c>
      <c r="K29" s="42">
        <f t="shared" si="7"/>
        <v>0</v>
      </c>
      <c r="L29" s="42">
        <f t="shared" si="7"/>
        <v>0</v>
      </c>
      <c r="M29" s="42">
        <f t="shared" si="7"/>
        <v>0</v>
      </c>
      <c r="N29" s="42">
        <f t="shared" si="7"/>
        <v>0</v>
      </c>
      <c r="O29" s="42">
        <f>O23-O28</f>
        <v>0</v>
      </c>
      <c r="P29" s="21"/>
      <c r="Q29" s="46"/>
      <c r="R29" s="1"/>
      <c r="S29" s="1"/>
      <c r="T29" s="1"/>
      <c r="U29" s="1"/>
      <c r="V29" s="1"/>
      <c r="W29" s="1"/>
      <c r="X29" s="1"/>
      <c r="Y29" s="1"/>
      <c r="Z29" s="1"/>
    </row>
    <row r="30" spans="1:26" s="11" customFormat="1" ht="18">
      <c r="A30" s="61"/>
      <c r="B30" s="57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21"/>
      <c r="Q30" s="46"/>
      <c r="R30" s="1"/>
      <c r="S30" s="1"/>
      <c r="T30" s="1"/>
      <c r="U30" s="1"/>
      <c r="V30" s="1"/>
      <c r="W30" s="1"/>
      <c r="X30" s="1"/>
      <c r="Y30" s="1"/>
      <c r="Z30" s="1"/>
    </row>
    <row r="31" spans="1:26" s="11" customFormat="1" ht="18">
      <c r="A31" s="62">
        <v>4</v>
      </c>
      <c r="B31" s="53" t="s">
        <v>46</v>
      </c>
      <c r="C31" s="18"/>
      <c r="D31" s="18">
        <v>34855.23</v>
      </c>
      <c r="E31" s="18">
        <v>33835.01</v>
      </c>
      <c r="F31" s="18">
        <f>40252.62+1500</f>
        <v>41752.62</v>
      </c>
      <c r="G31" s="18">
        <v>39200</v>
      </c>
      <c r="H31" s="18">
        <v>39200</v>
      </c>
      <c r="I31" s="19">
        <f>595+9602.5</f>
        <v>10197.5</v>
      </c>
      <c r="J31" s="19">
        <v>10000</v>
      </c>
      <c r="K31" s="19">
        <f>11251.05</f>
        <v>11251.05</v>
      </c>
      <c r="L31" s="19">
        <v>33301</v>
      </c>
      <c r="M31" s="19">
        <v>58849</v>
      </c>
      <c r="N31" s="19">
        <v>89558.59</v>
      </c>
      <c r="O31" s="20">
        <f>SUM(C31:N31)</f>
        <v>402000</v>
      </c>
      <c r="P31" s="21"/>
      <c r="Q31" s="46"/>
      <c r="R31" s="1"/>
      <c r="S31" s="1"/>
      <c r="T31" s="1"/>
      <c r="U31" s="1"/>
      <c r="V31" s="1"/>
      <c r="W31" s="1"/>
      <c r="X31" s="1"/>
      <c r="Y31" s="1"/>
      <c r="Z31" s="1"/>
    </row>
    <row r="32" spans="1:26" s="11" customFormat="1" ht="18">
      <c r="A32" s="70"/>
      <c r="B32" s="58">
        <v>221</v>
      </c>
      <c r="C32" s="38"/>
      <c r="D32" s="38"/>
      <c r="E32" s="38"/>
      <c r="F32" s="38"/>
      <c r="G32" s="38">
        <v>1500</v>
      </c>
      <c r="H32" s="38"/>
      <c r="I32" s="39">
        <v>1500</v>
      </c>
      <c r="J32" s="39"/>
      <c r="K32" s="39"/>
      <c r="L32" s="39">
        <v>1500</v>
      </c>
      <c r="M32" s="39"/>
      <c r="N32" s="39">
        <v>1500</v>
      </c>
      <c r="O32" s="20">
        <f aca="true" t="shared" si="8" ref="O32:O42">SUM(C32:N32)</f>
        <v>6000</v>
      </c>
      <c r="P32" s="21"/>
      <c r="Q32" s="46"/>
      <c r="R32" s="1"/>
      <c r="S32" s="1"/>
      <c r="T32" s="1"/>
      <c r="U32" s="1"/>
      <c r="V32" s="1"/>
      <c r="W32" s="1"/>
      <c r="X32" s="1"/>
      <c r="Y32" s="1"/>
      <c r="Z32" s="1"/>
    </row>
    <row r="33" spans="1:26" s="11" customFormat="1" ht="18">
      <c r="A33" s="70"/>
      <c r="B33" s="58" t="s">
        <v>59</v>
      </c>
      <c r="C33" s="38"/>
      <c r="D33" s="38"/>
      <c r="E33" s="38"/>
      <c r="F33" s="38"/>
      <c r="G33" s="38"/>
      <c r="H33" s="38">
        <v>1000</v>
      </c>
      <c r="I33" s="39"/>
      <c r="J33" s="39"/>
      <c r="K33" s="39"/>
      <c r="L33" s="39"/>
      <c r="M33" s="39">
        <v>1000</v>
      </c>
      <c r="N33" s="39"/>
      <c r="O33" s="20">
        <f t="shared" si="8"/>
        <v>2000</v>
      </c>
      <c r="P33" s="21"/>
      <c r="Q33" s="46"/>
      <c r="R33" s="1"/>
      <c r="S33" s="1"/>
      <c r="T33" s="1"/>
      <c r="U33" s="1"/>
      <c r="V33" s="1"/>
      <c r="W33" s="1"/>
      <c r="X33" s="1"/>
      <c r="Y33" s="1"/>
      <c r="Z33" s="1"/>
    </row>
    <row r="34" spans="1:26" s="11" customFormat="1" ht="18">
      <c r="A34" s="64"/>
      <c r="B34" s="69" t="s">
        <v>63</v>
      </c>
      <c r="C34" s="34"/>
      <c r="D34" s="34"/>
      <c r="E34" s="34"/>
      <c r="F34" s="34"/>
      <c r="G34" s="34"/>
      <c r="H34" s="34"/>
      <c r="I34" s="67">
        <v>6040</v>
      </c>
      <c r="J34" s="67"/>
      <c r="K34" s="67"/>
      <c r="L34" s="67"/>
      <c r="M34" s="67">
        <v>14457</v>
      </c>
      <c r="N34" s="67"/>
      <c r="O34" s="20">
        <f t="shared" si="8"/>
        <v>20497</v>
      </c>
      <c r="P34" s="21"/>
      <c r="Q34" s="46"/>
      <c r="R34" s="1"/>
      <c r="S34" s="1"/>
      <c r="T34" s="1"/>
      <c r="U34" s="1"/>
      <c r="V34" s="1"/>
      <c r="W34" s="1"/>
      <c r="X34" s="1"/>
      <c r="Y34" s="1"/>
      <c r="Z34" s="1"/>
    </row>
    <row r="35" spans="1:26" s="11" customFormat="1" ht="18">
      <c r="A35" s="64"/>
      <c r="B35" s="69"/>
      <c r="C35" s="34"/>
      <c r="D35" s="34"/>
      <c r="E35" s="34"/>
      <c r="F35" s="34"/>
      <c r="G35" s="34"/>
      <c r="H35" s="34"/>
      <c r="I35" s="67"/>
      <c r="J35" s="67"/>
      <c r="K35" s="67"/>
      <c r="L35" s="67"/>
      <c r="M35" s="67"/>
      <c r="N35" s="67"/>
      <c r="O35" s="20">
        <f t="shared" si="8"/>
        <v>0</v>
      </c>
      <c r="P35" s="21"/>
      <c r="Q35" s="46"/>
      <c r="R35" s="1"/>
      <c r="S35" s="1"/>
      <c r="T35" s="1"/>
      <c r="U35" s="1"/>
      <c r="V35" s="1"/>
      <c r="W35" s="1"/>
      <c r="X35" s="1"/>
      <c r="Y35" s="1"/>
      <c r="Z35" s="1"/>
    </row>
    <row r="36" spans="1:26" s="11" customFormat="1" ht="18">
      <c r="A36" s="64"/>
      <c r="B36" s="58">
        <v>226</v>
      </c>
      <c r="C36" s="38"/>
      <c r="D36" s="38">
        <f>D37</f>
        <v>2560</v>
      </c>
      <c r="E36" s="38">
        <f>E37</f>
        <v>3200</v>
      </c>
      <c r="F36" s="38">
        <f>F37+F41</f>
        <v>5720</v>
      </c>
      <c r="G36" s="38">
        <f>G37</f>
        <v>3360</v>
      </c>
      <c r="H36" s="38">
        <f>H37+H39</f>
        <v>3200</v>
      </c>
      <c r="I36" s="38">
        <f>I37+I39+I40+I41</f>
        <v>3658</v>
      </c>
      <c r="J36" s="38">
        <f>J37+J39+J40+J41</f>
        <v>5052.96</v>
      </c>
      <c r="K36" s="38">
        <f>K37+K39+K40+K41+K38</f>
        <v>300</v>
      </c>
      <c r="L36" s="38">
        <f>L37+L39+L40+L41</f>
        <v>3840</v>
      </c>
      <c r="M36" s="38">
        <f>M37+M39+M40+M41</f>
        <v>3360</v>
      </c>
      <c r="N36" s="38">
        <f>N37+N39+N40+N41</f>
        <v>6240</v>
      </c>
      <c r="O36" s="38">
        <f>O37+O39+O40+O41+O38</f>
        <v>40490.96</v>
      </c>
      <c r="P36" s="21"/>
      <c r="Q36" s="46"/>
      <c r="R36" s="1"/>
      <c r="S36" s="1"/>
      <c r="T36" s="1"/>
      <c r="U36" s="1"/>
      <c r="V36" s="1"/>
      <c r="W36" s="1"/>
      <c r="X36" s="1"/>
      <c r="Y36" s="1"/>
      <c r="Z36" s="1"/>
    </row>
    <row r="37" spans="1:26" s="11" customFormat="1" ht="18">
      <c r="A37" s="64"/>
      <c r="B37" s="69" t="s">
        <v>61</v>
      </c>
      <c r="C37" s="34"/>
      <c r="D37" s="34">
        <v>2560</v>
      </c>
      <c r="E37" s="34">
        <v>3200</v>
      </c>
      <c r="F37" s="34">
        <v>2720</v>
      </c>
      <c r="G37" s="34">
        <v>3360</v>
      </c>
      <c r="H37" s="34">
        <v>3200</v>
      </c>
      <c r="I37" s="67">
        <v>1440</v>
      </c>
      <c r="J37" s="67"/>
      <c r="K37" s="67"/>
      <c r="L37" s="67">
        <v>3840</v>
      </c>
      <c r="M37" s="67">
        <f>3360</f>
        <v>3360</v>
      </c>
      <c r="N37" s="67">
        <f>1920+1120+3200</f>
        <v>6240</v>
      </c>
      <c r="O37" s="20">
        <f t="shared" si="8"/>
        <v>29920</v>
      </c>
      <c r="P37" s="21"/>
      <c r="Q37" s="46"/>
      <c r="R37" s="1"/>
      <c r="S37" s="1"/>
      <c r="T37" s="1"/>
      <c r="U37" s="1"/>
      <c r="V37" s="1"/>
      <c r="W37" s="1"/>
      <c r="X37" s="1"/>
      <c r="Y37" s="1"/>
      <c r="Z37" s="1"/>
    </row>
    <row r="38" spans="1:26" s="11" customFormat="1" ht="18">
      <c r="A38" s="64"/>
      <c r="B38" s="69" t="s">
        <v>65</v>
      </c>
      <c r="C38" s="34"/>
      <c r="D38" s="34"/>
      <c r="E38" s="34"/>
      <c r="F38" s="34"/>
      <c r="G38" s="34"/>
      <c r="H38" s="34"/>
      <c r="I38" s="67"/>
      <c r="J38" s="67"/>
      <c r="K38" s="67">
        <v>300</v>
      </c>
      <c r="L38" s="67"/>
      <c r="M38" s="67"/>
      <c r="N38" s="67"/>
      <c r="O38" s="20">
        <f t="shared" si="8"/>
        <v>300</v>
      </c>
      <c r="P38" s="21"/>
      <c r="Q38" s="46"/>
      <c r="R38" s="1"/>
      <c r="S38" s="1"/>
      <c r="T38" s="1"/>
      <c r="U38" s="1"/>
      <c r="V38" s="1"/>
      <c r="W38" s="1"/>
      <c r="X38" s="1"/>
      <c r="Y38" s="1"/>
      <c r="Z38" s="1"/>
    </row>
    <row r="39" spans="1:26" s="11" customFormat="1" ht="18">
      <c r="A39" s="64"/>
      <c r="B39" s="69" t="s">
        <v>60</v>
      </c>
      <c r="C39" s="34"/>
      <c r="D39" s="34"/>
      <c r="E39" s="34"/>
      <c r="F39" s="34"/>
      <c r="G39" s="34"/>
      <c r="H39" s="34"/>
      <c r="I39" s="67">
        <v>2218</v>
      </c>
      <c r="J39" s="67"/>
      <c r="K39" s="67"/>
      <c r="L39" s="67"/>
      <c r="M39" s="67"/>
      <c r="N39" s="67"/>
      <c r="O39" s="20">
        <f t="shared" si="8"/>
        <v>2218</v>
      </c>
      <c r="P39" s="21"/>
      <c r="Q39" s="46"/>
      <c r="R39" s="1"/>
      <c r="S39" s="1"/>
      <c r="T39" s="1"/>
      <c r="U39" s="1"/>
      <c r="V39" s="1"/>
      <c r="W39" s="1"/>
      <c r="X39" s="1"/>
      <c r="Y39" s="1"/>
      <c r="Z39" s="1"/>
    </row>
    <row r="40" spans="1:26" s="11" customFormat="1" ht="18">
      <c r="A40" s="64"/>
      <c r="B40" s="69" t="s">
        <v>64</v>
      </c>
      <c r="C40" s="34"/>
      <c r="D40" s="34"/>
      <c r="E40" s="34"/>
      <c r="F40" s="34"/>
      <c r="G40" s="34"/>
      <c r="H40" s="34"/>
      <c r="I40" s="67"/>
      <c r="J40" s="67">
        <v>5052.96</v>
      </c>
      <c r="K40" s="67"/>
      <c r="L40" s="67"/>
      <c r="M40" s="67"/>
      <c r="N40" s="67"/>
      <c r="O40" s="20">
        <f t="shared" si="8"/>
        <v>5052.96</v>
      </c>
      <c r="P40" s="21"/>
      <c r="Q40" s="46"/>
      <c r="R40" s="1"/>
      <c r="S40" s="1"/>
      <c r="T40" s="1"/>
      <c r="U40" s="1"/>
      <c r="V40" s="1"/>
      <c r="W40" s="1"/>
      <c r="X40" s="1"/>
      <c r="Y40" s="1"/>
      <c r="Z40" s="1"/>
    </row>
    <row r="41" spans="1:26" s="11" customFormat="1" ht="18">
      <c r="A41" s="64"/>
      <c r="B41" s="69" t="s">
        <v>54</v>
      </c>
      <c r="C41" s="34"/>
      <c r="D41" s="34"/>
      <c r="E41" s="34"/>
      <c r="F41" s="34">
        <v>3000</v>
      </c>
      <c r="G41" s="34"/>
      <c r="H41" s="34"/>
      <c r="I41" s="67"/>
      <c r="J41" s="67"/>
      <c r="K41" s="67"/>
      <c r="L41" s="67"/>
      <c r="M41" s="67"/>
      <c r="N41" s="67"/>
      <c r="O41" s="20">
        <f t="shared" si="8"/>
        <v>3000</v>
      </c>
      <c r="P41" s="21"/>
      <c r="Q41" s="46"/>
      <c r="R41" s="1"/>
      <c r="S41" s="1"/>
      <c r="T41" s="1"/>
      <c r="U41" s="1"/>
      <c r="V41" s="1"/>
      <c r="W41" s="1"/>
      <c r="X41" s="1"/>
      <c r="Y41" s="1"/>
      <c r="Z41" s="1"/>
    </row>
    <row r="42" spans="1:26" s="11" customFormat="1" ht="36">
      <c r="A42" s="64"/>
      <c r="B42" s="71" t="s">
        <v>67</v>
      </c>
      <c r="C42" s="72"/>
      <c r="D42" s="72"/>
      <c r="E42" s="72"/>
      <c r="F42" s="72">
        <v>595</v>
      </c>
      <c r="G42" s="72"/>
      <c r="H42" s="72"/>
      <c r="I42" s="73">
        <v>595</v>
      </c>
      <c r="J42" s="73"/>
      <c r="K42" s="73"/>
      <c r="L42" s="73">
        <f>595+612</f>
        <v>1207</v>
      </c>
      <c r="M42" s="73"/>
      <c r="N42" s="73">
        <v>7500</v>
      </c>
      <c r="O42" s="74">
        <f t="shared" si="8"/>
        <v>9897</v>
      </c>
      <c r="P42" s="21"/>
      <c r="Q42" s="46"/>
      <c r="R42" s="1"/>
      <c r="S42" s="1"/>
      <c r="T42" s="1"/>
      <c r="U42" s="1"/>
      <c r="V42" s="1"/>
      <c r="W42" s="1"/>
      <c r="X42" s="1"/>
      <c r="Y42" s="1"/>
      <c r="Z42" s="1"/>
    </row>
    <row r="43" spans="1:26" s="11" customFormat="1" ht="18">
      <c r="A43" s="64"/>
      <c r="B43" s="58" t="s">
        <v>0</v>
      </c>
      <c r="C43" s="45">
        <f>C44+C45</f>
        <v>0</v>
      </c>
      <c r="D43" s="45">
        <f aca="true" t="shared" si="9" ref="D43:O43">D44+D45</f>
        <v>32295.23</v>
      </c>
      <c r="E43" s="45">
        <f t="shared" si="9"/>
        <v>30635.01</v>
      </c>
      <c r="F43" s="45">
        <f t="shared" si="9"/>
        <v>33937.62</v>
      </c>
      <c r="G43" s="45">
        <f t="shared" si="9"/>
        <v>23061.5</v>
      </c>
      <c r="H43" s="45">
        <f t="shared" si="9"/>
        <v>41195</v>
      </c>
      <c r="I43" s="45">
        <f t="shared" si="9"/>
        <v>4988</v>
      </c>
      <c r="J43" s="45">
        <f t="shared" si="9"/>
        <v>4947.04</v>
      </c>
      <c r="K43" s="45">
        <f t="shared" si="9"/>
        <v>10951.05</v>
      </c>
      <c r="L43" s="45">
        <f t="shared" si="9"/>
        <v>26754</v>
      </c>
      <c r="M43" s="45">
        <f t="shared" si="9"/>
        <v>40032</v>
      </c>
      <c r="N43" s="45">
        <f t="shared" si="9"/>
        <v>74318.59</v>
      </c>
      <c r="O43" s="45">
        <f t="shared" si="9"/>
        <v>323115.04</v>
      </c>
      <c r="P43" s="21"/>
      <c r="Q43" s="46"/>
      <c r="R43" s="1"/>
      <c r="S43" s="1"/>
      <c r="T43" s="1"/>
      <c r="U43" s="1"/>
      <c r="V43" s="1"/>
      <c r="W43" s="1"/>
      <c r="X43" s="1"/>
      <c r="Y43" s="1"/>
      <c r="Z43" s="1"/>
    </row>
    <row r="44" spans="1:26" s="11" customFormat="1" ht="18">
      <c r="A44" s="63"/>
      <c r="B44" s="59" t="s">
        <v>50</v>
      </c>
      <c r="C44" s="9"/>
      <c r="D44" s="9">
        <v>23600</v>
      </c>
      <c r="E44" s="9">
        <v>29120</v>
      </c>
      <c r="F44" s="9">
        <f>22280+5890.5</f>
        <v>28170.5</v>
      </c>
      <c r="G44" s="9">
        <v>23061.5</v>
      </c>
      <c r="H44" s="9">
        <f>29645+11550</f>
        <v>41195</v>
      </c>
      <c r="I44" s="9">
        <v>4988</v>
      </c>
      <c r="J44" s="9">
        <v>4947.04</v>
      </c>
      <c r="K44" s="9">
        <v>2921.96</v>
      </c>
      <c r="L44" s="9">
        <v>26754</v>
      </c>
      <c r="M44" s="9">
        <f>5340+34692</f>
        <v>40032</v>
      </c>
      <c r="N44" s="9">
        <f>33678+38590</f>
        <v>72268</v>
      </c>
      <c r="O44" s="14">
        <f>C44+D44+E44+F44+G44+H44+I44+J44+K44+L44+M44+N44</f>
        <v>297058</v>
      </c>
      <c r="P44" s="21"/>
      <c r="Q44" s="46"/>
      <c r="R44" s="1"/>
      <c r="S44" s="1"/>
      <c r="T44" s="1"/>
      <c r="U44" s="1"/>
      <c r="V44" s="1"/>
      <c r="W44" s="1"/>
      <c r="X44" s="1"/>
      <c r="Y44" s="1"/>
      <c r="Z44" s="1"/>
    </row>
    <row r="45" spans="1:26" s="11" customFormat="1" ht="18">
      <c r="A45" s="63"/>
      <c r="B45" s="59" t="s">
        <v>49</v>
      </c>
      <c r="C45" s="9"/>
      <c r="D45" s="9">
        <v>8695.23</v>
      </c>
      <c r="E45" s="9">
        <v>1515.01</v>
      </c>
      <c r="F45" s="9">
        <f>5767.12</f>
        <v>5767.12</v>
      </c>
      <c r="G45" s="9"/>
      <c r="H45" s="9"/>
      <c r="I45" s="9"/>
      <c r="J45" s="9"/>
      <c r="K45" s="9">
        <v>8029.09</v>
      </c>
      <c r="L45" s="9"/>
      <c r="M45" s="9"/>
      <c r="N45" s="9">
        <f>2012.07+38.52</f>
        <v>2050.59</v>
      </c>
      <c r="O45" s="14">
        <f>C45+D45+E45+F45+G45+H45+I45+J45+K45+L45+M45+N45</f>
        <v>26057.04</v>
      </c>
      <c r="P45" s="21"/>
      <c r="Q45" s="46"/>
      <c r="R45" s="1"/>
      <c r="S45" s="1"/>
      <c r="T45" s="1"/>
      <c r="U45" s="1"/>
      <c r="V45" s="1"/>
      <c r="W45" s="1"/>
      <c r="X45" s="1"/>
      <c r="Y45" s="1"/>
      <c r="Z45" s="1"/>
    </row>
    <row r="46" spans="1:26" s="11" customFormat="1" ht="18">
      <c r="A46" s="63"/>
      <c r="B46" s="5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4">
        <f>C46+D46+E46+F46+G46+H46+I46+J46+K46+L46+M46+N46</f>
        <v>0</v>
      </c>
      <c r="P46" s="21"/>
      <c r="Q46" s="46"/>
      <c r="R46" s="1"/>
      <c r="S46" s="1"/>
      <c r="T46" s="1"/>
      <c r="U46" s="1"/>
      <c r="V46" s="1"/>
      <c r="W46" s="1"/>
      <c r="X46" s="1"/>
      <c r="Y46" s="1"/>
      <c r="Z46" s="1"/>
    </row>
    <row r="47" spans="1:26" s="11" customFormat="1" ht="18">
      <c r="A47" s="63"/>
      <c r="B47" s="55" t="s">
        <v>53</v>
      </c>
      <c r="C47" s="34">
        <f>C32+C36+C43</f>
        <v>0</v>
      </c>
      <c r="D47" s="34">
        <f>D32+D36+D43</f>
        <v>34855.229999999996</v>
      </c>
      <c r="E47" s="34">
        <f>E32+E36+E43</f>
        <v>33835.009999999995</v>
      </c>
      <c r="F47" s="34">
        <f>F32+F36+F43+F42+F33</f>
        <v>40252.62</v>
      </c>
      <c r="G47" s="34">
        <f>G32+G36+G43</f>
        <v>27921.5</v>
      </c>
      <c r="H47" s="34">
        <f>H32+H36+H43</f>
        <v>44395</v>
      </c>
      <c r="I47" s="34">
        <f aca="true" t="shared" si="10" ref="I47:N47">I32+I36+I43+I34+I42</f>
        <v>16781</v>
      </c>
      <c r="J47" s="34">
        <f t="shared" si="10"/>
        <v>10000</v>
      </c>
      <c r="K47" s="34">
        <f t="shared" si="10"/>
        <v>11251.05</v>
      </c>
      <c r="L47" s="34">
        <f>L32+L36+L43+L34+L42</f>
        <v>33301</v>
      </c>
      <c r="M47" s="34">
        <f>M32+M36+M43+M34+M42+M33</f>
        <v>58849</v>
      </c>
      <c r="N47" s="34">
        <f>N32+N36+N43+N34+N42</f>
        <v>89558.59</v>
      </c>
      <c r="O47" s="34">
        <f>O32+O36+O43+O34+O42+O33</f>
        <v>402000</v>
      </c>
      <c r="P47" s="21"/>
      <c r="Q47" s="46"/>
      <c r="R47" s="1"/>
      <c r="S47" s="1"/>
      <c r="T47" s="1"/>
      <c r="U47" s="1"/>
      <c r="V47" s="1"/>
      <c r="W47" s="1"/>
      <c r="X47" s="1"/>
      <c r="Y47" s="1"/>
      <c r="Z47" s="1"/>
    </row>
    <row r="48" spans="1:26" s="11" customFormat="1" ht="18">
      <c r="A48" s="64"/>
      <c r="B48" s="56" t="s">
        <v>47</v>
      </c>
      <c r="C48" s="43">
        <f>C31-C43</f>
        <v>0</v>
      </c>
      <c r="D48" s="43">
        <f>C48+D31-D43-D32-D36</f>
        <v>3.637978807091713E-12</v>
      </c>
      <c r="E48" s="43">
        <f aca="true" t="shared" si="11" ref="E48:N48">D48+E31-E43-E32-E36</f>
        <v>1.0913936421275139E-11</v>
      </c>
      <c r="F48" s="43">
        <f>E48+F31-F43-F32-F36-F42</f>
        <v>1500.0000000000073</v>
      </c>
      <c r="G48" s="43">
        <f t="shared" si="11"/>
        <v>12778.500000000007</v>
      </c>
      <c r="H48" s="43">
        <f>G48+H31-H33-H32-H36-H43</f>
        <v>6583.500000000007</v>
      </c>
      <c r="I48" s="43">
        <f>H48+I31-I47</f>
        <v>0</v>
      </c>
      <c r="J48" s="43">
        <f t="shared" si="11"/>
        <v>0</v>
      </c>
      <c r="K48" s="43">
        <f t="shared" si="11"/>
        <v>0</v>
      </c>
      <c r="L48" s="43">
        <f>K48+L31-L43-L32-L36-L42</f>
        <v>0</v>
      </c>
      <c r="M48" s="43">
        <f>L48+M31-M47</f>
        <v>0</v>
      </c>
      <c r="N48" s="43">
        <f>M48+N31-N43-N32-N36-N42</f>
        <v>0</v>
      </c>
      <c r="O48" s="43">
        <f>O31-O47</f>
        <v>0</v>
      </c>
      <c r="P48" s="21"/>
      <c r="Q48" s="46"/>
      <c r="R48" s="1"/>
      <c r="S48" s="1"/>
      <c r="T48" s="1"/>
      <c r="U48" s="1"/>
      <c r="V48" s="1"/>
      <c r="W48" s="1"/>
      <c r="X48" s="1"/>
      <c r="Y48" s="1"/>
      <c r="Z48" s="1"/>
    </row>
    <row r="49" spans="1:26" s="11" customFormat="1" ht="18" customHeight="1">
      <c r="A49" s="64"/>
      <c r="B49" s="57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P49" s="21"/>
      <c r="Q49" s="46"/>
      <c r="R49" s="1"/>
      <c r="S49" s="1"/>
      <c r="T49" s="1"/>
      <c r="U49" s="1"/>
      <c r="V49" s="1"/>
      <c r="W49" s="1"/>
      <c r="X49" s="1"/>
      <c r="Y49" s="1"/>
      <c r="Z49" s="1"/>
    </row>
    <row r="50" spans="1:26" s="11" customFormat="1" ht="36.75" customHeight="1">
      <c r="A50" s="62"/>
      <c r="B50" s="53" t="s">
        <v>34</v>
      </c>
      <c r="C50" s="12"/>
      <c r="D50" s="12"/>
      <c r="E50" s="12"/>
      <c r="F50" s="12"/>
      <c r="G50" s="12"/>
      <c r="H50" s="34">
        <v>39390</v>
      </c>
      <c r="I50" s="12"/>
      <c r="J50" s="12"/>
      <c r="K50" s="12"/>
      <c r="L50" s="12"/>
      <c r="M50" s="12"/>
      <c r="N50" s="12"/>
      <c r="O50" s="13">
        <f>SUM(C50:N50)</f>
        <v>39390</v>
      </c>
      <c r="P50" s="48"/>
      <c r="Q50" s="47"/>
      <c r="R50" s="1"/>
      <c r="S50" s="1"/>
      <c r="T50" s="1"/>
      <c r="U50" s="1"/>
      <c r="V50" s="1"/>
      <c r="W50" s="1"/>
      <c r="X50" s="1"/>
      <c r="Y50" s="1"/>
      <c r="Z50" s="1"/>
    </row>
    <row r="51" spans="1:26" s="11" customFormat="1" ht="27.75" customHeight="1">
      <c r="A51" s="64"/>
      <c r="B51" s="54" t="s">
        <v>24</v>
      </c>
      <c r="C51" s="36"/>
      <c r="D51" s="36"/>
      <c r="E51" s="36"/>
      <c r="F51" s="36"/>
      <c r="G51" s="36"/>
      <c r="H51" s="36">
        <f>15000+11318.45+3935</f>
        <v>30253.45</v>
      </c>
      <c r="I51" s="36"/>
      <c r="J51" s="36"/>
      <c r="K51" s="36"/>
      <c r="L51" s="36"/>
      <c r="M51" s="36"/>
      <c r="N51" s="36"/>
      <c r="O51" s="37">
        <f>C51+D51+E51+F51+G51+H51+I51+J51+K51+L51+M51+N51</f>
        <v>30253.45</v>
      </c>
      <c r="P51" s="48"/>
      <c r="Q51" s="47"/>
      <c r="R51" s="1"/>
      <c r="S51" s="1"/>
      <c r="T51" s="1"/>
      <c r="U51" s="1"/>
      <c r="V51" s="1"/>
      <c r="W51" s="1"/>
      <c r="X51" s="1"/>
      <c r="Y51" s="1"/>
      <c r="Z51" s="1"/>
    </row>
    <row r="52" spans="1:26" s="11" customFormat="1" ht="23.25" customHeight="1">
      <c r="A52" s="64"/>
      <c r="B52" s="54" t="s">
        <v>25</v>
      </c>
      <c r="C52" s="38"/>
      <c r="D52" s="38"/>
      <c r="E52" s="38"/>
      <c r="F52" s="38"/>
      <c r="G52" s="38"/>
      <c r="H52" s="38">
        <f>60.5+877.35+1542.95+6655.75</f>
        <v>9136.55</v>
      </c>
      <c r="I52" s="39"/>
      <c r="J52" s="39"/>
      <c r="K52" s="39"/>
      <c r="L52" s="39"/>
      <c r="M52" s="39"/>
      <c r="N52" s="39"/>
      <c r="O52" s="37">
        <f>C52+D52+E52+F52+G52+H52+I52+J52+K52+L52+M52+N52</f>
        <v>9136.55</v>
      </c>
      <c r="P52" s="48"/>
      <c r="Q52" s="47"/>
      <c r="R52" s="1"/>
      <c r="S52" s="1"/>
      <c r="T52" s="1"/>
      <c r="U52" s="1"/>
      <c r="V52" s="1"/>
      <c r="W52" s="1"/>
      <c r="X52" s="1"/>
      <c r="Y52" s="1"/>
      <c r="Z52" s="1"/>
    </row>
    <row r="53" spans="1:26" s="11" customFormat="1" ht="44.25" customHeight="1">
      <c r="A53" s="64"/>
      <c r="B53" s="55" t="s">
        <v>32</v>
      </c>
      <c r="C53" s="34">
        <f aca="true" t="shared" si="12" ref="C53:O53">C51+C52</f>
        <v>0</v>
      </c>
      <c r="D53" s="34">
        <f t="shared" si="12"/>
        <v>0</v>
      </c>
      <c r="E53" s="34">
        <f t="shared" si="12"/>
        <v>0</v>
      </c>
      <c r="F53" s="34">
        <f t="shared" si="12"/>
        <v>0</v>
      </c>
      <c r="G53" s="34">
        <f t="shared" si="12"/>
        <v>0</v>
      </c>
      <c r="H53" s="34">
        <f t="shared" si="12"/>
        <v>39390</v>
      </c>
      <c r="I53" s="34">
        <f t="shared" si="12"/>
        <v>0</v>
      </c>
      <c r="J53" s="34">
        <f t="shared" si="12"/>
        <v>0</v>
      </c>
      <c r="K53" s="34">
        <f t="shared" si="12"/>
        <v>0</v>
      </c>
      <c r="L53" s="34">
        <f t="shared" si="12"/>
        <v>0</v>
      </c>
      <c r="M53" s="34">
        <f t="shared" si="12"/>
        <v>0</v>
      </c>
      <c r="N53" s="34">
        <f t="shared" si="12"/>
        <v>0</v>
      </c>
      <c r="O53" s="34">
        <f t="shared" si="12"/>
        <v>39390</v>
      </c>
      <c r="P53" s="48"/>
      <c r="Q53" s="47"/>
      <c r="R53" s="1"/>
      <c r="S53" s="1"/>
      <c r="T53" s="1"/>
      <c r="U53" s="1"/>
      <c r="V53" s="1"/>
      <c r="W53" s="1"/>
      <c r="X53" s="1"/>
      <c r="Y53" s="1"/>
      <c r="Z53" s="1"/>
    </row>
    <row r="54" spans="1:26" s="11" customFormat="1" ht="25.5" customHeight="1">
      <c r="A54" s="64"/>
      <c r="B54" s="56" t="s">
        <v>29</v>
      </c>
      <c r="C54" s="42">
        <f>C50-C53</f>
        <v>0</v>
      </c>
      <c r="D54" s="42">
        <f aca="true" t="shared" si="13" ref="D54:O54">C54+D50-D53</f>
        <v>0</v>
      </c>
      <c r="E54" s="42">
        <f t="shared" si="13"/>
        <v>0</v>
      </c>
      <c r="F54" s="42">
        <f t="shared" si="13"/>
        <v>0</v>
      </c>
      <c r="G54" s="42">
        <f t="shared" si="13"/>
        <v>0</v>
      </c>
      <c r="H54" s="42">
        <f t="shared" si="13"/>
        <v>0</v>
      </c>
      <c r="I54" s="42">
        <f t="shared" si="13"/>
        <v>0</v>
      </c>
      <c r="J54" s="42">
        <f t="shared" si="13"/>
        <v>0</v>
      </c>
      <c r="K54" s="42">
        <f t="shared" si="13"/>
        <v>0</v>
      </c>
      <c r="L54" s="42">
        <f t="shared" si="13"/>
        <v>0</v>
      </c>
      <c r="M54" s="42">
        <f t="shared" si="13"/>
        <v>0</v>
      </c>
      <c r="N54" s="42">
        <f t="shared" si="13"/>
        <v>0</v>
      </c>
      <c r="O54" s="42">
        <f t="shared" si="13"/>
        <v>0</v>
      </c>
      <c r="P54" s="48"/>
      <c r="Q54" s="47"/>
      <c r="R54" s="1"/>
      <c r="S54" s="1"/>
      <c r="T54" s="1"/>
      <c r="U54" s="1"/>
      <c r="V54" s="1"/>
      <c r="W54" s="1"/>
      <c r="X54" s="1"/>
      <c r="Y54" s="1"/>
      <c r="Z54" s="1"/>
    </row>
    <row r="55" spans="1:26" s="11" customFormat="1" ht="14.25" customHeight="1">
      <c r="A55" s="64"/>
      <c r="B55" s="57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8"/>
      <c r="Q55" s="47"/>
      <c r="R55" s="1"/>
      <c r="S55" s="1"/>
      <c r="T55" s="1"/>
      <c r="U55" s="1"/>
      <c r="V55" s="1"/>
      <c r="W55" s="1"/>
      <c r="X55" s="1"/>
      <c r="Y55" s="1"/>
      <c r="Z55" s="1"/>
    </row>
    <row r="56" spans="1:26" s="11" customFormat="1" ht="24" customHeight="1">
      <c r="A56" s="62"/>
      <c r="B56" s="53" t="s">
        <v>35</v>
      </c>
      <c r="C56" s="18"/>
      <c r="D56" s="18"/>
      <c r="E56" s="18"/>
      <c r="F56" s="18"/>
      <c r="G56" s="18">
        <v>3930.09</v>
      </c>
      <c r="H56" s="18"/>
      <c r="I56" s="19"/>
      <c r="J56" s="19">
        <v>71648.49</v>
      </c>
      <c r="K56" s="19"/>
      <c r="L56" s="19"/>
      <c r="M56" s="19"/>
      <c r="N56" s="19"/>
      <c r="O56" s="20">
        <f>SUM(C56:N56)</f>
        <v>75578.58</v>
      </c>
      <c r="P56" s="48"/>
      <c r="Q56" s="47"/>
      <c r="R56" s="1"/>
      <c r="S56" s="1"/>
      <c r="T56" s="1"/>
      <c r="U56" s="1"/>
      <c r="V56" s="1"/>
      <c r="W56" s="1"/>
      <c r="X56" s="1"/>
      <c r="Y56" s="1"/>
      <c r="Z56" s="1"/>
    </row>
    <row r="57" spans="1:26" s="11" customFormat="1" ht="24.75" customHeight="1">
      <c r="A57" s="64"/>
      <c r="B57" s="60" t="s">
        <v>36</v>
      </c>
      <c r="C57" s="45"/>
      <c r="D57" s="45"/>
      <c r="E57" s="45"/>
      <c r="F57" s="45"/>
      <c r="G57" s="45"/>
      <c r="H57" s="45">
        <v>3930.09</v>
      </c>
      <c r="I57" s="45"/>
      <c r="J57" s="45">
        <v>71648.49</v>
      </c>
      <c r="K57" s="45"/>
      <c r="L57" s="45"/>
      <c r="M57" s="45"/>
      <c r="N57" s="45"/>
      <c r="O57" s="20">
        <f>SUM(C57:N57)</f>
        <v>75578.58</v>
      </c>
      <c r="P57" s="48"/>
      <c r="Q57" s="47"/>
      <c r="R57" s="1"/>
      <c r="S57" s="1"/>
      <c r="T57" s="1"/>
      <c r="U57" s="1"/>
      <c r="V57" s="1"/>
      <c r="W57" s="1"/>
      <c r="X57" s="1"/>
      <c r="Y57" s="1"/>
      <c r="Z57" s="1"/>
    </row>
    <row r="58" spans="1:26" s="11" customFormat="1" ht="17.25" customHeight="1">
      <c r="A58" s="64"/>
      <c r="B58" s="56" t="s">
        <v>38</v>
      </c>
      <c r="C58" s="43">
        <f>C56-C57</f>
        <v>0</v>
      </c>
      <c r="D58" s="43">
        <f aca="true" t="shared" si="14" ref="D58:N58">C58+D56-D57</f>
        <v>0</v>
      </c>
      <c r="E58" s="43">
        <f t="shared" si="14"/>
        <v>0</v>
      </c>
      <c r="F58" s="43">
        <f t="shared" si="14"/>
        <v>0</v>
      </c>
      <c r="G58" s="43">
        <f t="shared" si="14"/>
        <v>3930.09</v>
      </c>
      <c r="H58" s="43">
        <f t="shared" si="14"/>
        <v>0</v>
      </c>
      <c r="I58" s="43">
        <f t="shared" si="14"/>
        <v>0</v>
      </c>
      <c r="J58" s="43">
        <f t="shared" si="14"/>
        <v>0</v>
      </c>
      <c r="K58" s="43">
        <f t="shared" si="14"/>
        <v>0</v>
      </c>
      <c r="L58" s="43">
        <f t="shared" si="14"/>
        <v>0</v>
      </c>
      <c r="M58" s="43">
        <f t="shared" si="14"/>
        <v>0</v>
      </c>
      <c r="N58" s="43">
        <f t="shared" si="14"/>
        <v>0</v>
      </c>
      <c r="O58" s="43">
        <f>N58</f>
        <v>0</v>
      </c>
      <c r="P58" s="48"/>
      <c r="Q58" s="47"/>
      <c r="R58" s="1"/>
      <c r="S58" s="1"/>
      <c r="T58" s="1"/>
      <c r="U58" s="1"/>
      <c r="V58" s="1"/>
      <c r="W58" s="1"/>
      <c r="X58" s="1"/>
      <c r="Y58" s="1"/>
      <c r="Z58" s="1"/>
    </row>
    <row r="59" spans="1:26" s="11" customFormat="1" ht="17.25" customHeight="1">
      <c r="A59" s="64"/>
      <c r="B59" s="57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8"/>
      <c r="Q59" s="47"/>
      <c r="R59" s="1"/>
      <c r="S59" s="1"/>
      <c r="T59" s="1"/>
      <c r="U59" s="1"/>
      <c r="V59" s="1"/>
      <c r="W59" s="1"/>
      <c r="X59" s="1"/>
      <c r="Y59" s="1"/>
      <c r="Z59" s="1"/>
    </row>
    <row r="60" spans="1:26" s="11" customFormat="1" ht="17.25" customHeight="1">
      <c r="A60" s="62"/>
      <c r="B60" s="53" t="s">
        <v>55</v>
      </c>
      <c r="C60" s="18"/>
      <c r="D60" s="18"/>
      <c r="E60" s="18"/>
      <c r="F60" s="18"/>
      <c r="G60" s="18">
        <v>1394</v>
      </c>
      <c r="H60" s="18"/>
      <c r="I60" s="19"/>
      <c r="J60" s="19"/>
      <c r="K60" s="19"/>
      <c r="L60" s="19"/>
      <c r="M60" s="19"/>
      <c r="N60" s="19"/>
      <c r="O60" s="20">
        <f>SUM(C60:N60)</f>
        <v>1394</v>
      </c>
      <c r="P60" s="48"/>
      <c r="Q60" s="47"/>
      <c r="R60" s="1"/>
      <c r="S60" s="1"/>
      <c r="T60" s="1"/>
      <c r="U60" s="1"/>
      <c r="V60" s="1"/>
      <c r="W60" s="1"/>
      <c r="X60" s="1"/>
      <c r="Y60" s="1"/>
      <c r="Z60" s="1"/>
    </row>
    <row r="61" spans="1:26" s="11" customFormat="1" ht="17.25" customHeight="1">
      <c r="A61" s="64"/>
      <c r="B61" s="60" t="s">
        <v>56</v>
      </c>
      <c r="C61" s="45"/>
      <c r="D61" s="45"/>
      <c r="E61" s="45"/>
      <c r="F61" s="45"/>
      <c r="G61" s="45">
        <v>1394</v>
      </c>
      <c r="H61" s="45"/>
      <c r="I61" s="45"/>
      <c r="J61" s="45"/>
      <c r="K61" s="45"/>
      <c r="L61" s="45"/>
      <c r="M61" s="45"/>
      <c r="N61" s="45"/>
      <c r="O61" s="20">
        <f>SUM(C61:N61)</f>
        <v>1394</v>
      </c>
      <c r="P61" s="48"/>
      <c r="Q61" s="47"/>
      <c r="R61" s="1"/>
      <c r="S61" s="1"/>
      <c r="T61" s="1"/>
      <c r="U61" s="1"/>
      <c r="V61" s="1"/>
      <c r="W61" s="1"/>
      <c r="X61" s="1"/>
      <c r="Y61" s="1"/>
      <c r="Z61" s="1"/>
    </row>
    <row r="62" spans="1:26" s="11" customFormat="1" ht="17.25" customHeight="1">
      <c r="A62" s="64"/>
      <c r="B62" s="56" t="s">
        <v>57</v>
      </c>
      <c r="C62" s="43">
        <f>C60-C61</f>
        <v>0</v>
      </c>
      <c r="D62" s="43">
        <f aca="true" t="shared" si="15" ref="D62:N62">C62+D60-D61</f>
        <v>0</v>
      </c>
      <c r="E62" s="43">
        <f t="shared" si="15"/>
        <v>0</v>
      </c>
      <c r="F62" s="43">
        <f t="shared" si="15"/>
        <v>0</v>
      </c>
      <c r="G62" s="43">
        <f t="shared" si="15"/>
        <v>0</v>
      </c>
      <c r="H62" s="43">
        <f t="shared" si="15"/>
        <v>0</v>
      </c>
      <c r="I62" s="43">
        <f t="shared" si="15"/>
        <v>0</v>
      </c>
      <c r="J62" s="43">
        <f t="shared" si="15"/>
        <v>0</v>
      </c>
      <c r="K62" s="43">
        <f t="shared" si="15"/>
        <v>0</v>
      </c>
      <c r="L62" s="43">
        <f t="shared" si="15"/>
        <v>0</v>
      </c>
      <c r="M62" s="43">
        <f t="shared" si="15"/>
        <v>0</v>
      </c>
      <c r="N62" s="43">
        <f t="shared" si="15"/>
        <v>0</v>
      </c>
      <c r="O62" s="43">
        <f>N62</f>
        <v>0</v>
      </c>
      <c r="P62" s="48"/>
      <c r="Q62" s="47"/>
      <c r="R62" s="1"/>
      <c r="S62" s="1"/>
      <c r="T62" s="1"/>
      <c r="U62" s="1"/>
      <c r="V62" s="1"/>
      <c r="W62" s="1"/>
      <c r="X62" s="1"/>
      <c r="Y62" s="1"/>
      <c r="Z62" s="1"/>
    </row>
    <row r="63" spans="1:26" s="11" customFormat="1" ht="12" customHeight="1">
      <c r="A63" s="64"/>
      <c r="B63" s="57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8"/>
      <c r="Q63" s="47"/>
      <c r="R63" s="1"/>
      <c r="S63" s="1"/>
      <c r="T63" s="1"/>
      <c r="U63" s="1"/>
      <c r="V63" s="1"/>
      <c r="W63" s="1"/>
      <c r="X63" s="1"/>
      <c r="Y63" s="1"/>
      <c r="Z63" s="1"/>
    </row>
    <row r="64" spans="1:26" s="11" customFormat="1" ht="34.5" customHeight="1">
      <c r="A64" s="62"/>
      <c r="B64" s="53" t="s">
        <v>39</v>
      </c>
      <c r="C64" s="18"/>
      <c r="D64" s="18"/>
      <c r="E64" s="18"/>
      <c r="F64" s="18"/>
      <c r="G64" s="18"/>
      <c r="H64" s="18"/>
      <c r="I64" s="19">
        <v>76035</v>
      </c>
      <c r="J64" s="19"/>
      <c r="K64" s="19"/>
      <c r="L64" s="19">
        <v>177415</v>
      </c>
      <c r="M64" s="19"/>
      <c r="N64" s="19"/>
      <c r="O64" s="20">
        <f>SUM(C64:N64)</f>
        <v>253450</v>
      </c>
      <c r="P64" s="48"/>
      <c r="Q64" s="47"/>
      <c r="R64" s="1"/>
      <c r="S64" s="1"/>
      <c r="T64" s="1"/>
      <c r="U64" s="1"/>
      <c r="V64" s="1"/>
      <c r="W64" s="1"/>
      <c r="X64" s="1"/>
      <c r="Y64" s="1"/>
      <c r="Z64" s="1"/>
    </row>
    <row r="65" spans="1:26" s="11" customFormat="1" ht="24.75" customHeight="1">
      <c r="A65" s="64"/>
      <c r="B65" s="60" t="s">
        <v>41</v>
      </c>
      <c r="C65" s="45"/>
      <c r="D65" s="45"/>
      <c r="E65" s="45"/>
      <c r="F65" s="45"/>
      <c r="G65" s="45"/>
      <c r="H65" s="45"/>
      <c r="I65" s="45">
        <v>76035</v>
      </c>
      <c r="J65" s="45"/>
      <c r="K65" s="45"/>
      <c r="L65" s="45">
        <v>177415</v>
      </c>
      <c r="M65" s="45"/>
      <c r="N65" s="45"/>
      <c r="O65" s="20">
        <f>SUM(C65:N65)</f>
        <v>253450</v>
      </c>
      <c r="P65" s="48"/>
      <c r="Q65" s="47"/>
      <c r="R65" s="1"/>
      <c r="S65" s="1"/>
      <c r="T65" s="1"/>
      <c r="U65" s="1"/>
      <c r="V65" s="1"/>
      <c r="W65" s="1"/>
      <c r="X65" s="1"/>
      <c r="Y65" s="1"/>
      <c r="Z65" s="1"/>
    </row>
    <row r="66" spans="1:26" s="11" customFormat="1" ht="25.5" customHeight="1">
      <c r="A66" s="64"/>
      <c r="B66" s="56" t="s">
        <v>43</v>
      </c>
      <c r="C66" s="43">
        <f>C64-C65</f>
        <v>0</v>
      </c>
      <c r="D66" s="43">
        <f aca="true" t="shared" si="16" ref="D66:O66">C66+D64-D65</f>
        <v>0</v>
      </c>
      <c r="E66" s="43">
        <f t="shared" si="16"/>
        <v>0</v>
      </c>
      <c r="F66" s="43">
        <f t="shared" si="16"/>
        <v>0</v>
      </c>
      <c r="G66" s="43">
        <f t="shared" si="16"/>
        <v>0</v>
      </c>
      <c r="H66" s="43">
        <f t="shared" si="16"/>
        <v>0</v>
      </c>
      <c r="I66" s="43">
        <f t="shared" si="16"/>
        <v>0</v>
      </c>
      <c r="J66" s="43">
        <f t="shared" si="16"/>
        <v>0</v>
      </c>
      <c r="K66" s="43">
        <f t="shared" si="16"/>
        <v>0</v>
      </c>
      <c r="L66" s="43">
        <f t="shared" si="16"/>
        <v>0</v>
      </c>
      <c r="M66" s="43">
        <f t="shared" si="16"/>
        <v>0</v>
      </c>
      <c r="N66" s="43">
        <f t="shared" si="16"/>
        <v>0</v>
      </c>
      <c r="O66" s="43">
        <f t="shared" si="16"/>
        <v>0</v>
      </c>
      <c r="P66" s="48"/>
      <c r="Q66" s="47"/>
      <c r="R66" s="1"/>
      <c r="S66" s="1"/>
      <c r="T66" s="1"/>
      <c r="U66" s="1"/>
      <c r="V66" s="1"/>
      <c r="W66" s="1"/>
      <c r="X66" s="1"/>
      <c r="Y66" s="1"/>
      <c r="Z66" s="1"/>
    </row>
    <row r="67" spans="1:26" s="11" customFormat="1" ht="11.25" customHeight="1">
      <c r="A67" s="64"/>
      <c r="B67" s="57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8"/>
      <c r="Q67" s="47"/>
      <c r="R67" s="1"/>
      <c r="S67" s="1"/>
      <c r="T67" s="1"/>
      <c r="U67" s="1"/>
      <c r="V67" s="1"/>
      <c r="W67" s="1"/>
      <c r="X67" s="1"/>
      <c r="Y67" s="1"/>
      <c r="Z67" s="1"/>
    </row>
    <row r="68" spans="1:26" s="11" customFormat="1" ht="17.25" customHeight="1">
      <c r="A68" s="62"/>
      <c r="B68" s="53" t="s">
        <v>40</v>
      </c>
      <c r="C68" s="18"/>
      <c r="D68" s="18"/>
      <c r="E68" s="18"/>
      <c r="F68" s="18"/>
      <c r="G68" s="18"/>
      <c r="H68" s="18"/>
      <c r="I68" s="19"/>
      <c r="J68" s="19"/>
      <c r="K68" s="19"/>
      <c r="L68" s="19"/>
      <c r="M68" s="19">
        <v>4000</v>
      </c>
      <c r="N68" s="19">
        <v>3256.3</v>
      </c>
      <c r="O68" s="20">
        <f>SUM(C68:N68)</f>
        <v>7256.3</v>
      </c>
      <c r="P68" s="48"/>
      <c r="Q68" s="47"/>
      <c r="R68" s="1"/>
      <c r="S68" s="1"/>
      <c r="T68" s="1"/>
      <c r="U68" s="1"/>
      <c r="V68" s="1"/>
      <c r="W68" s="1"/>
      <c r="X68" s="1"/>
      <c r="Y68" s="1"/>
      <c r="Z68" s="1"/>
    </row>
    <row r="69" spans="1:26" s="11" customFormat="1" ht="24" customHeight="1">
      <c r="A69" s="64"/>
      <c r="B69" s="66" t="s">
        <v>42</v>
      </c>
      <c r="C69" s="34"/>
      <c r="D69" s="34"/>
      <c r="E69" s="34"/>
      <c r="F69" s="34"/>
      <c r="G69" s="34"/>
      <c r="H69" s="34"/>
      <c r="I69" s="67"/>
      <c r="J69" s="67"/>
      <c r="K69" s="67"/>
      <c r="L69" s="67"/>
      <c r="M69" s="67">
        <v>4000</v>
      </c>
      <c r="N69" s="67">
        <f>3256.3</f>
        <v>3256.3</v>
      </c>
      <c r="O69" s="20">
        <f>SUM(C69:N69)</f>
        <v>7256.3</v>
      </c>
      <c r="P69" s="48"/>
      <c r="Q69" s="47"/>
      <c r="R69" s="1"/>
      <c r="S69" s="1"/>
      <c r="T69" s="1"/>
      <c r="U69" s="1"/>
      <c r="V69" s="1"/>
      <c r="W69" s="1"/>
      <c r="X69" s="1"/>
      <c r="Y69" s="1"/>
      <c r="Z69" s="1"/>
    </row>
    <row r="70" spans="1:26" s="11" customFormat="1" ht="14.25" customHeight="1" hidden="1">
      <c r="A70" s="64"/>
      <c r="B70" s="60" t="s">
        <v>42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20">
        <f>SUM(C70:N70)</f>
        <v>0</v>
      </c>
      <c r="P70" s="48"/>
      <c r="Q70" s="47"/>
      <c r="R70" s="1"/>
      <c r="S70" s="1"/>
      <c r="T70" s="1"/>
      <c r="U70" s="1"/>
      <c r="V70" s="1"/>
      <c r="W70" s="1"/>
      <c r="X70" s="1"/>
      <c r="Y70" s="1"/>
      <c r="Z70" s="1"/>
    </row>
    <row r="71" spans="1:26" s="11" customFormat="1" ht="18.75" customHeight="1">
      <c r="A71" s="64"/>
      <c r="B71" s="56" t="s">
        <v>44</v>
      </c>
      <c r="C71" s="43">
        <f>C68-C70</f>
        <v>0</v>
      </c>
      <c r="D71" s="43">
        <f aca="true" t="shared" si="17" ref="D71:L71">C71+D68-D70</f>
        <v>0</v>
      </c>
      <c r="E71" s="43">
        <f t="shared" si="17"/>
        <v>0</v>
      </c>
      <c r="F71" s="43">
        <f t="shared" si="17"/>
        <v>0</v>
      </c>
      <c r="G71" s="43">
        <f t="shared" si="17"/>
        <v>0</v>
      </c>
      <c r="H71" s="43">
        <f t="shared" si="17"/>
        <v>0</v>
      </c>
      <c r="I71" s="43">
        <f t="shared" si="17"/>
        <v>0</v>
      </c>
      <c r="J71" s="43">
        <f t="shared" si="17"/>
        <v>0</v>
      </c>
      <c r="K71" s="43">
        <f t="shared" si="17"/>
        <v>0</v>
      </c>
      <c r="L71" s="43">
        <f t="shared" si="17"/>
        <v>0</v>
      </c>
      <c r="M71" s="43">
        <f>L71-M70</f>
        <v>0</v>
      </c>
      <c r="N71" s="43">
        <f>N68-N69-N70</f>
        <v>0</v>
      </c>
      <c r="O71" s="43">
        <f>O68-O69-O70</f>
        <v>0</v>
      </c>
      <c r="P71" s="48"/>
      <c r="Q71" s="47"/>
      <c r="R71" s="1"/>
      <c r="S71" s="1"/>
      <c r="T71" s="1"/>
      <c r="U71" s="1"/>
      <c r="V71" s="1"/>
      <c r="W71" s="1"/>
      <c r="X71" s="1"/>
      <c r="Y71" s="1"/>
      <c r="Z71" s="1"/>
    </row>
    <row r="72" spans="1:26" s="11" customFormat="1" ht="34.5" customHeight="1">
      <c r="A72" s="64"/>
      <c r="B72" s="41" t="s">
        <v>48</v>
      </c>
      <c r="C72" s="43">
        <f aca="true" t="shared" si="18" ref="C72:O72">C4+C12+C50+C56+C64+C68+C23+C31</f>
        <v>30000</v>
      </c>
      <c r="D72" s="43">
        <f t="shared" si="18"/>
        <v>116132.96000000002</v>
      </c>
      <c r="E72" s="43">
        <f t="shared" si="18"/>
        <v>107168.41</v>
      </c>
      <c r="F72" s="43">
        <f t="shared" si="18"/>
        <v>121684.72</v>
      </c>
      <c r="G72" s="43">
        <f t="shared" si="18"/>
        <v>131840.35</v>
      </c>
      <c r="H72" s="43">
        <f t="shared" si="18"/>
        <v>168427.99</v>
      </c>
      <c r="I72" s="43">
        <f t="shared" si="18"/>
        <v>205950.56</v>
      </c>
      <c r="J72" s="43">
        <f t="shared" si="18"/>
        <v>116648.49</v>
      </c>
      <c r="K72" s="43">
        <f t="shared" si="18"/>
        <v>123347.03</v>
      </c>
      <c r="L72" s="43">
        <f t="shared" si="18"/>
        <v>272100.44</v>
      </c>
      <c r="M72" s="43">
        <f t="shared" si="18"/>
        <v>129817.32</v>
      </c>
      <c r="N72" s="43">
        <f t="shared" si="18"/>
        <v>219456.61</v>
      </c>
      <c r="O72" s="43">
        <f t="shared" si="18"/>
        <v>1742574.8800000001</v>
      </c>
      <c r="P72" s="48"/>
      <c r="Q72" s="47"/>
      <c r="R72" s="1"/>
      <c r="S72" s="1"/>
      <c r="T72" s="1"/>
      <c r="U72" s="1"/>
      <c r="V72" s="1"/>
      <c r="W72" s="1"/>
      <c r="X72" s="1"/>
      <c r="Y72" s="1"/>
      <c r="Z72" s="1"/>
    </row>
    <row r="73" spans="1:26" s="11" customFormat="1" ht="34.5" customHeight="1">
      <c r="A73" s="65"/>
      <c r="B73" s="41" t="s">
        <v>51</v>
      </c>
      <c r="C73" s="43">
        <f aca="true" t="shared" si="19" ref="C73:O73">C9+C16+C28+C47</f>
        <v>30000</v>
      </c>
      <c r="D73" s="43">
        <f t="shared" si="19"/>
        <v>116132.95999999999</v>
      </c>
      <c r="E73" s="43">
        <f t="shared" si="19"/>
        <v>107168.40999999999</v>
      </c>
      <c r="F73" s="43">
        <f t="shared" si="19"/>
        <v>118684.72</v>
      </c>
      <c r="G73" s="43">
        <f t="shared" si="19"/>
        <v>118131.76000000001</v>
      </c>
      <c r="H73" s="43">
        <f t="shared" si="19"/>
        <v>133478.41</v>
      </c>
      <c r="I73" s="43">
        <f t="shared" si="19"/>
        <v>126637.56</v>
      </c>
      <c r="J73" s="43">
        <f t="shared" si="19"/>
        <v>45000</v>
      </c>
      <c r="K73" s="43">
        <f t="shared" si="19"/>
        <v>110303.63000000002</v>
      </c>
      <c r="L73" s="43">
        <f t="shared" si="19"/>
        <v>103867.84</v>
      </c>
      <c r="M73" s="43">
        <f t="shared" si="19"/>
        <v>118773.2</v>
      </c>
      <c r="N73" s="43">
        <f t="shared" si="19"/>
        <v>213349.43</v>
      </c>
      <c r="O73" s="43">
        <f t="shared" si="19"/>
        <v>1342527.92</v>
      </c>
      <c r="P73" s="48"/>
      <c r="Q73" s="47"/>
      <c r="R73" s="1"/>
      <c r="S73" s="1"/>
      <c r="T73" s="1"/>
      <c r="U73" s="1"/>
      <c r="V73" s="1"/>
      <c r="W73" s="1"/>
      <c r="X73" s="1"/>
      <c r="Y73" s="1"/>
      <c r="Z73" s="1"/>
    </row>
    <row r="74" spans="1:26" s="11" customFormat="1" ht="34.5" customHeight="1">
      <c r="A74" s="65"/>
      <c r="B74" s="41" t="s">
        <v>52</v>
      </c>
      <c r="C74" s="43">
        <f aca="true" t="shared" si="20" ref="C74:N74">C10+C21+C29+C48</f>
        <v>0</v>
      </c>
      <c r="D74" s="43">
        <f t="shared" si="20"/>
        <v>3.637978807091713E-12</v>
      </c>
      <c r="E74" s="43">
        <f t="shared" si="20"/>
        <v>1.0913936421275139E-11</v>
      </c>
      <c r="F74" s="43">
        <f t="shared" si="20"/>
        <v>3000.0000000000073</v>
      </c>
      <c r="G74" s="43">
        <f t="shared" si="20"/>
        <v>12778.500000000007</v>
      </c>
      <c r="H74" s="43">
        <f t="shared" si="20"/>
        <v>1440.0000000000055</v>
      </c>
      <c r="I74" s="43">
        <f t="shared" si="20"/>
        <v>0</v>
      </c>
      <c r="J74" s="43">
        <f t="shared" si="20"/>
        <v>0</v>
      </c>
      <c r="K74" s="43">
        <f t="shared" si="20"/>
        <v>13043.399999999987</v>
      </c>
      <c r="L74" s="43">
        <f t="shared" si="20"/>
        <v>-1.4551915228366852E-11</v>
      </c>
      <c r="M74" s="43">
        <f t="shared" si="20"/>
        <v>7044.119999999986</v>
      </c>
      <c r="N74" s="43">
        <f t="shared" si="20"/>
        <v>-1.4551915228366852E-11</v>
      </c>
      <c r="O74" s="43">
        <f>O10+O21+O29+O48</f>
        <v>1.4551915228366852E-11</v>
      </c>
      <c r="P74" s="48"/>
      <c r="Q74" s="47"/>
      <c r="R74" s="1"/>
      <c r="S74" s="1"/>
      <c r="T74" s="1"/>
      <c r="U74" s="1"/>
      <c r="V74" s="1"/>
      <c r="W74" s="1"/>
      <c r="X74" s="1"/>
      <c r="Y74" s="1"/>
      <c r="Z74" s="1"/>
    </row>
    <row r="75" spans="1:26" s="11" customFormat="1" ht="11.25" customHeight="1">
      <c r="A75" s="65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7"/>
      <c r="R75" s="1"/>
      <c r="S75" s="1"/>
      <c r="T75" s="1"/>
      <c r="U75" s="1"/>
      <c r="V75" s="1"/>
      <c r="W75" s="1"/>
      <c r="X75" s="1"/>
      <c r="Y75" s="1"/>
      <c r="Z75" s="1"/>
    </row>
    <row r="76" spans="1:19" ht="18">
      <c r="A76" s="28"/>
      <c r="B76" s="47" t="s">
        <v>5</v>
      </c>
      <c r="C76" s="68" t="s">
        <v>6</v>
      </c>
      <c r="E76" s="16"/>
      <c r="H76" s="16"/>
      <c r="I76" s="16"/>
      <c r="K76" s="16"/>
      <c r="L76" s="16"/>
      <c r="M76" s="16"/>
      <c r="N76" s="16"/>
      <c r="O76" s="16"/>
      <c r="P76" s="1"/>
      <c r="Q76" s="1"/>
      <c r="R76" s="1"/>
      <c r="S76" s="1"/>
    </row>
    <row r="77" spans="1:15" ht="18">
      <c r="A77" s="28"/>
      <c r="B77" s="47"/>
      <c r="C77" s="68"/>
      <c r="D77" s="16"/>
      <c r="E77" s="16"/>
      <c r="H77" s="16"/>
      <c r="J77" s="16"/>
      <c r="O77" s="16"/>
    </row>
    <row r="78" spans="1:14" ht="18">
      <c r="A78" s="28"/>
      <c r="B78" s="47" t="s">
        <v>7</v>
      </c>
      <c r="C78" s="68" t="s">
        <v>8</v>
      </c>
      <c r="H78" s="16"/>
      <c r="I78" s="16"/>
      <c r="J78" s="16"/>
      <c r="K78" s="16"/>
      <c r="L78" s="16"/>
      <c r="M78" s="16"/>
      <c r="N78" s="16"/>
    </row>
    <row r="79" ht="18">
      <c r="A79" s="28"/>
    </row>
    <row r="80" spans="1:15" ht="18">
      <c r="A80" s="28"/>
      <c r="N80" s="16"/>
      <c r="O80" s="16"/>
    </row>
    <row r="81" spans="14:15" ht="18">
      <c r="N81" s="16"/>
      <c r="O81" s="16"/>
    </row>
    <row r="82" spans="14:15" ht="18">
      <c r="N82" s="16"/>
      <c r="O82" s="16"/>
    </row>
    <row r="83" spans="14:15" ht="18">
      <c r="N83" s="16"/>
      <c r="O83" s="16"/>
    </row>
    <row r="84" spans="14:17" ht="18">
      <c r="N84" s="16"/>
      <c r="O84" s="16"/>
      <c r="Q84" s="22"/>
    </row>
  </sheetData>
  <sheetProtection/>
  <mergeCells count="2">
    <mergeCell ref="B2:C2"/>
    <mergeCell ref="B1:N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2017-12-29T14:20:34Z</cp:lastPrinted>
  <dcterms:created xsi:type="dcterms:W3CDTF">1996-10-08T23:32:33Z</dcterms:created>
  <dcterms:modified xsi:type="dcterms:W3CDTF">2018-12-29T09:10:18Z</dcterms:modified>
  <cp:category/>
  <cp:version/>
  <cp:contentType/>
  <cp:contentStatus/>
</cp:coreProperties>
</file>