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'!$A$1:$N$88</definedName>
  </definedNames>
  <calcPr fullCalcOnLoad="1"/>
</workbook>
</file>

<file path=xl/sharedStrings.xml><?xml version="1.0" encoding="utf-8"?>
<sst xmlns="http://schemas.openxmlformats.org/spreadsheetml/2006/main" count="176" uniqueCount="100">
  <si>
    <t>225 в.т.ч.</t>
  </si>
  <si>
    <t>226 в т.ч.</t>
  </si>
  <si>
    <t>340 в т.ч.</t>
  </si>
  <si>
    <t>ВСЕГО</t>
  </si>
  <si>
    <t xml:space="preserve">310 в т.ч. 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</si>
  <si>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</si>
  <si>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</si>
  <si>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</si>
  <si>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</si>
  <si>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</si>
  <si>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</si>
  <si>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</si>
  <si>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</si>
  <si>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</si>
  <si>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</si>
  <si>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</si>
  <si>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</si>
  <si>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290 в.т.ч.</t>
  </si>
  <si>
    <t>земельный налог</t>
  </si>
  <si>
    <t>пени, штрафы</t>
  </si>
  <si>
    <t>оформ лицензии</t>
  </si>
  <si>
    <t>пож.технич.минимум</t>
  </si>
  <si>
    <t>налог за загрязнение окр.среды</t>
  </si>
  <si>
    <t>гос.пошлина</t>
  </si>
  <si>
    <t>обучение отв за теплохоз.и эл.хоз</t>
  </si>
  <si>
    <t>итого</t>
  </si>
  <si>
    <t>МБОУ Ясиновская СОШ</t>
  </si>
  <si>
    <t>январь</t>
  </si>
  <si>
    <t>питание малообесп.</t>
  </si>
  <si>
    <t>Директор школы</t>
  </si>
  <si>
    <t>О.Н.Максимова</t>
  </si>
  <si>
    <t>Главный  бухгалтер</t>
  </si>
  <si>
    <t>Н.А.Замула</t>
  </si>
  <si>
    <t>февраль</t>
  </si>
  <si>
    <t>март</t>
  </si>
  <si>
    <t>апрель</t>
  </si>
  <si>
    <t>май</t>
  </si>
  <si>
    <t>тепловая энергия</t>
  </si>
  <si>
    <t>июнь</t>
  </si>
  <si>
    <t>налог на имущество</t>
  </si>
  <si>
    <t>июль</t>
  </si>
  <si>
    <t>август</t>
  </si>
  <si>
    <t>сентябрь</t>
  </si>
  <si>
    <t>октябрь</t>
  </si>
  <si>
    <t>ноябрь</t>
  </si>
  <si>
    <t>декабрь</t>
  </si>
  <si>
    <t>ремонт актового зала</t>
  </si>
  <si>
    <t xml:space="preserve">охранные услуги </t>
  </si>
  <si>
    <t>обслуж.теплосчетчиков</t>
  </si>
  <si>
    <t>гидравлич.испытания трубопровода</t>
  </si>
  <si>
    <t>вода питьевая</t>
  </si>
  <si>
    <t>Финансирование</t>
  </si>
  <si>
    <t>Остаток на л/счете</t>
  </si>
  <si>
    <t>тех.обслуживание тахографа</t>
  </si>
  <si>
    <t xml:space="preserve">тех.обслуживание АПС </t>
  </si>
  <si>
    <t>эл.счетчик трехфазный</t>
  </si>
  <si>
    <t>тестирование ЕГЭ 9 и 11 кл</t>
  </si>
  <si>
    <t>гиг.обучение</t>
  </si>
  <si>
    <t>ремонт водопровода</t>
  </si>
  <si>
    <t>обучение механика и отв.за подвоз</t>
  </si>
  <si>
    <t>224 аренда трансп.услуги</t>
  </si>
  <si>
    <t>ремонт автобуса</t>
  </si>
  <si>
    <t>светильники и др.эл.товары</t>
  </si>
  <si>
    <t>обучение охрана труда</t>
  </si>
  <si>
    <t>з/части на стол.оборуд.</t>
  </si>
  <si>
    <t>бумага в бух</t>
  </si>
  <si>
    <t>медтехника</t>
  </si>
  <si>
    <t>з/плата гарантированная</t>
  </si>
  <si>
    <t>премии</t>
  </si>
  <si>
    <t>обучение 44-ФЗ</t>
  </si>
  <si>
    <t>611 заработная плата  211</t>
  </si>
  <si>
    <t>611 начисления на з/плату 213</t>
  </si>
  <si>
    <t>установка вод.счетчика</t>
  </si>
  <si>
    <t>отщип (Лаб.испытания огнезащиты)</t>
  </si>
  <si>
    <t>утилизация люм.ламп</t>
  </si>
  <si>
    <t>611 з/п</t>
  </si>
  <si>
    <t>карта водителя на тахограф + тахограф</t>
  </si>
  <si>
    <t>установка тахографа</t>
  </si>
  <si>
    <t>тахограф</t>
  </si>
  <si>
    <t>ремонт АПС</t>
  </si>
  <si>
    <t xml:space="preserve">МРСК Юга техусловия на категорийность котельной </t>
  </si>
  <si>
    <t>МРСК Юга опломбировка эл.счетчика</t>
  </si>
  <si>
    <t>жесткий диск на сист.видеонабл</t>
  </si>
  <si>
    <t>стройматериалы на крышу туалета</t>
  </si>
  <si>
    <t>обслуживание видеонаблюденич</t>
  </si>
  <si>
    <t>обучение бухгалтера</t>
  </si>
  <si>
    <t>услуги по обращениб с ТКО</t>
  </si>
  <si>
    <t>частные  охран.услуги(физич.)</t>
  </si>
  <si>
    <t>дезинфекция</t>
  </si>
  <si>
    <t>мнемосхема</t>
  </si>
  <si>
    <t>ат.раб.мест</t>
  </si>
  <si>
    <t>моющие и хозтовары</t>
  </si>
  <si>
    <t>ГСМ на бензокосу</t>
  </si>
  <si>
    <t>огнезащ.обраб.дер.констр. И одежды сцены</t>
  </si>
  <si>
    <t>огнетушители</t>
  </si>
  <si>
    <t>скорая помощь</t>
  </si>
  <si>
    <t>Информация о расходовании средств местного бюджета за январь-декабрь 2019 год</t>
  </si>
  <si>
    <t>водонагреватель</t>
  </si>
  <si>
    <t>РЦИС система Дело</t>
  </si>
  <si>
    <t>спортивный инвентарь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</si>
</sst>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horizontal="left" wrapText="1"/>
    </xf>
    <xf numFmtId="184" fontId="5" fillId="4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4" borderId="11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 wrapText="1"/>
    </xf>
    <xf numFmtId="2" fontId="5" fillId="4" borderId="10" xfId="0" applyNumberFormat="1" applyFont="1" applyFill="1" applyBorder="1" applyAlignment="1">
      <alignment wrapText="1"/>
    </xf>
    <xf numFmtId="183" fontId="5" fillId="4" borderId="10" xfId="0" applyNumberFormat="1" applyFont="1" applyFill="1" applyBorder="1" applyAlignment="1">
      <alignment horizontal="right" wrapText="1"/>
    </xf>
    <xf numFmtId="2" fontId="5" fillId="4" borderId="11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6" fillId="33" borderId="11" xfId="0" applyNumberFormat="1" applyFont="1" applyFill="1" applyBorder="1" applyAlignment="1">
      <alignment horizontal="right" wrapText="1"/>
    </xf>
    <xf numFmtId="184" fontId="6" fillId="33" borderId="11" xfId="0" applyNumberFormat="1" applyFont="1" applyFill="1" applyBorder="1" applyAlignment="1">
      <alignment/>
    </xf>
    <xf numFmtId="184" fontId="5" fillId="33" borderId="11" xfId="0" applyNumberFormat="1" applyFont="1" applyFill="1" applyBorder="1" applyAlignment="1">
      <alignment wrapText="1"/>
    </xf>
    <xf numFmtId="183" fontId="5" fillId="33" borderId="11" xfId="0" applyNumberFormat="1" applyFont="1" applyFill="1" applyBorder="1" applyAlignment="1">
      <alignment wrapText="1"/>
    </xf>
    <xf numFmtId="184" fontId="5" fillId="33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6" fillId="4" borderId="10" xfId="0" applyNumberFormat="1" applyFont="1" applyFill="1" applyBorder="1" applyAlignment="1">
      <alignment horizontal="center" wrapText="1"/>
    </xf>
    <xf numFmtId="2" fontId="6" fillId="4" borderId="1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wrapText="1"/>
    </xf>
    <xf numFmtId="2" fontId="5" fillId="4" borderId="10" xfId="0" applyNumberFormat="1" applyFont="1" applyFill="1" applyBorder="1" applyAlignment="1">
      <alignment horizontal="right" wrapText="1"/>
    </xf>
    <xf numFmtId="183" fontId="5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right" wrapText="1"/>
    </xf>
    <xf numFmtId="2" fontId="5" fillId="4" borderId="1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tabSelected="1" view="pageBreakPreview" zoomScale="75" zoomScaleSheetLayoutView="75" zoomScalePageLayoutView="0" workbookViewId="0" topLeftCell="A1">
      <selection activeCell="L22" sqref="L22"/>
    </sheetView>
  </sheetViews>
  <sheetFormatPr defaultColWidth="9.140625" defaultRowHeight="12.75"/>
  <cols>
    <col min="1" max="1" width="56.7109375" style="7" customWidth="1"/>
    <col min="2" max="2" width="17.8515625" style="3" customWidth="1"/>
    <col min="3" max="3" width="17.421875" style="3" customWidth="1"/>
    <col min="4" max="4" width="19.140625" style="3" customWidth="1"/>
    <col min="5" max="5" width="17.8515625" style="3" customWidth="1"/>
    <col min="6" max="6" width="19.7109375" style="3" customWidth="1"/>
    <col min="7" max="7" width="18.421875" style="3" customWidth="1"/>
    <col min="8" max="8" width="18.140625" style="3" customWidth="1"/>
    <col min="9" max="9" width="18.00390625" style="3" customWidth="1"/>
    <col min="10" max="10" width="17.7109375" style="3" customWidth="1"/>
    <col min="11" max="11" width="18.8515625" style="3" customWidth="1"/>
    <col min="12" max="12" width="21.00390625" style="3" customWidth="1"/>
    <col min="13" max="13" width="20.28125" style="3" customWidth="1"/>
    <col min="14" max="14" width="22.7109375" style="3" customWidth="1"/>
    <col min="15" max="15" width="67.28125" style="2" customWidth="1"/>
    <col min="16" max="16" width="30.140625" style="2" customWidth="1"/>
    <col min="17" max="17" width="9.140625" style="2" customWidth="1"/>
    <col min="18" max="18" width="24.28125" style="2" customWidth="1"/>
    <col min="19" max="16384" width="9.140625" style="2" customWidth="1"/>
  </cols>
  <sheetData>
    <row r="1" spans="1:18" ht="48.75" customHeight="1">
      <c r="A1" s="47" t="s">
        <v>96</v>
      </c>
      <c r="B1" s="4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6"/>
      <c r="P1" s="26"/>
      <c r="Q1" s="26"/>
      <c r="R1" s="26"/>
    </row>
    <row r="2" spans="1:18" ht="33" customHeight="1">
      <c r="A2" s="45" t="s">
        <v>26</v>
      </c>
      <c r="B2" s="4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8" t="s">
        <v>75</v>
      </c>
      <c r="P2" s="26"/>
      <c r="Q2" s="26"/>
      <c r="R2" s="26"/>
    </row>
    <row r="3" spans="1:25" s="4" customFormat="1" ht="21" customHeight="1">
      <c r="A3" s="8"/>
      <c r="B3" s="15" t="s">
        <v>27</v>
      </c>
      <c r="C3" s="15" t="s">
        <v>33</v>
      </c>
      <c r="D3" s="15" t="s">
        <v>34</v>
      </c>
      <c r="E3" s="15" t="s">
        <v>35</v>
      </c>
      <c r="F3" s="15" t="s">
        <v>36</v>
      </c>
      <c r="G3" s="15" t="s">
        <v>38</v>
      </c>
      <c r="H3" s="15" t="s">
        <v>40</v>
      </c>
      <c r="I3" s="15" t="s">
        <v>41</v>
      </c>
      <c r="J3" s="15" t="s">
        <v>42</v>
      </c>
      <c r="K3" s="15" t="s">
        <v>43</v>
      </c>
      <c r="L3" s="15" t="s">
        <v>44</v>
      </c>
      <c r="M3" s="15" t="s">
        <v>45</v>
      </c>
      <c r="N3" s="16" t="s">
        <v>25</v>
      </c>
      <c r="O3" s="8"/>
      <c r="P3" s="28">
        <f>N4+N7</f>
        <v>1438700</v>
      </c>
      <c r="Q3" s="27"/>
      <c r="R3" s="27"/>
      <c r="S3" s="5"/>
      <c r="T3" s="5"/>
      <c r="U3" s="5"/>
      <c r="V3" s="5"/>
      <c r="W3" s="5"/>
      <c r="X3" s="5"/>
      <c r="Y3" s="5"/>
    </row>
    <row r="4" spans="1:25" s="4" customFormat="1" ht="21" customHeight="1">
      <c r="A4" s="22" t="s">
        <v>70</v>
      </c>
      <c r="B4" s="21">
        <f>B5+B6</f>
        <v>57889</v>
      </c>
      <c r="C4" s="21">
        <f aca="true" t="shared" si="0" ref="C4:M4">C5+C6</f>
        <v>105362.93000000001</v>
      </c>
      <c r="D4" s="21">
        <f t="shared" si="0"/>
        <v>102299.67</v>
      </c>
      <c r="E4" s="21">
        <f t="shared" si="0"/>
        <v>85526.55</v>
      </c>
      <c r="F4" s="21">
        <f t="shared" si="0"/>
        <v>105000</v>
      </c>
      <c r="G4" s="21">
        <f t="shared" si="0"/>
        <v>105498.78</v>
      </c>
      <c r="H4" s="21">
        <f>H5+H6</f>
        <v>108832.43000000001</v>
      </c>
      <c r="I4" s="21">
        <f t="shared" si="0"/>
        <v>48000</v>
      </c>
      <c r="J4" s="21">
        <f t="shared" si="0"/>
        <v>70000</v>
      </c>
      <c r="K4" s="21">
        <f t="shared" si="0"/>
        <v>118400</v>
      </c>
      <c r="L4" s="21">
        <f t="shared" si="0"/>
        <v>83496.04</v>
      </c>
      <c r="M4" s="21">
        <f t="shared" si="0"/>
        <v>87700</v>
      </c>
      <c r="N4" s="23">
        <f>B4+C4+D4+E4+F4+G4+H4+I4+J4+K4+L4+M4</f>
        <v>1078005.4</v>
      </c>
      <c r="O4" s="22" t="s">
        <v>70</v>
      </c>
      <c r="P4" s="27"/>
      <c r="Q4" s="27"/>
      <c r="R4" s="27"/>
      <c r="S4" s="5"/>
      <c r="T4" s="5"/>
      <c r="U4" s="5"/>
      <c r="V4" s="5"/>
      <c r="W4" s="5"/>
      <c r="X4" s="5"/>
      <c r="Y4" s="5"/>
    </row>
    <row r="5" spans="1:25" s="4" customFormat="1" ht="21" customHeight="1">
      <c r="A5" s="40" t="s">
        <v>67</v>
      </c>
      <c r="B5" s="41">
        <f>57889</f>
        <v>57889</v>
      </c>
      <c r="C5" s="42">
        <f>26654.56+65125.93+12759+823.44</f>
        <v>105362.93000000001</v>
      </c>
      <c r="D5" s="42">
        <f>7983.33+80000+11026+690.34+2000+600</f>
        <v>102299.67</v>
      </c>
      <c r="E5" s="42">
        <f>75919.25+9482+125.3</f>
        <v>85526.55</v>
      </c>
      <c r="F5" s="42">
        <v>105000</v>
      </c>
      <c r="G5" s="42">
        <f>65344.89+37740+2413.89</f>
        <v>105498.78</v>
      </c>
      <c r="H5" s="43">
        <f>107890.32+942.11</f>
        <v>108832.43000000001</v>
      </c>
      <c r="I5" s="43">
        <f>28000+20000</f>
        <v>48000</v>
      </c>
      <c r="J5" s="43">
        <f>2287.62+67712.38</f>
        <v>70000</v>
      </c>
      <c r="K5" s="43">
        <f>3284.42+78815.58+36300</f>
        <v>118400</v>
      </c>
      <c r="L5" s="43">
        <f>18820.67+45000+18780+895.37</f>
        <v>83496.04</v>
      </c>
      <c r="M5" s="43">
        <f>22224.91+40707.54+23800+967.55</f>
        <v>87700</v>
      </c>
      <c r="N5" s="23">
        <f>B5+C5+D5+E5+F5+G5+H5+I5+J5+K5+L5+M5</f>
        <v>1078005.4</v>
      </c>
      <c r="O5" s="40" t="s">
        <v>67</v>
      </c>
      <c r="P5" s="27"/>
      <c r="Q5" s="27"/>
      <c r="R5" s="27"/>
      <c r="S5" s="5"/>
      <c r="T5" s="5"/>
      <c r="U5" s="5"/>
      <c r="V5" s="5"/>
      <c r="W5" s="5"/>
      <c r="X5" s="5"/>
      <c r="Y5" s="5"/>
    </row>
    <row r="6" spans="1:25" s="4" customFormat="1" ht="21" customHeight="1">
      <c r="A6" s="40" t="s">
        <v>68</v>
      </c>
      <c r="B6" s="41"/>
      <c r="C6" s="42"/>
      <c r="D6" s="42"/>
      <c r="E6" s="42"/>
      <c r="F6" s="42"/>
      <c r="G6" s="42"/>
      <c r="H6" s="43"/>
      <c r="I6" s="43"/>
      <c r="J6" s="43"/>
      <c r="K6" s="43"/>
      <c r="L6" s="43"/>
      <c r="M6" s="43"/>
      <c r="N6" s="23">
        <f>B6+C6+D6+E6+F6+G6+H6+I6+J6+K6+L6+M6</f>
        <v>0</v>
      </c>
      <c r="O6" s="40" t="s">
        <v>68</v>
      </c>
      <c r="P6" s="27"/>
      <c r="Q6" s="27"/>
      <c r="R6" s="27"/>
      <c r="S6" s="5"/>
      <c r="T6" s="5"/>
      <c r="U6" s="5"/>
      <c r="V6" s="5"/>
      <c r="W6" s="5"/>
      <c r="X6" s="5"/>
      <c r="Y6" s="5"/>
    </row>
    <row r="7" spans="1:25" s="4" customFormat="1" ht="21" customHeight="1">
      <c r="A7" s="22" t="s">
        <v>71</v>
      </c>
      <c r="B7" s="44">
        <f>3200+7500+21411</f>
        <v>32111</v>
      </c>
      <c r="C7" s="44">
        <f>196.27+2845.94+5004.94+21589.92</f>
        <v>29637.07</v>
      </c>
      <c r="D7" s="44">
        <f>169.65+2359.95+4310.08+18660.73+170+2000+4000+1029.92</f>
        <v>32700.33</v>
      </c>
      <c r="E7" s="44">
        <f>6.65+561.35+504.44+18401.01</f>
        <v>19473.449999999997</v>
      </c>
      <c r="F7" s="44"/>
      <c r="G7" s="44">
        <f>580.6+8418.78+14805.45+5696.39</f>
        <v>29501.22</v>
      </c>
      <c r="H7" s="39">
        <f>250.19+3627.74+6379.82+46909.82+40000</f>
        <v>97167.57</v>
      </c>
      <c r="I7" s="39">
        <f>32000</f>
        <v>32000</v>
      </c>
      <c r="J7" s="39">
        <f>50000</f>
        <v>50000</v>
      </c>
      <c r="K7" s="39">
        <f>500+1100</f>
        <v>1600</v>
      </c>
      <c r="L7" s="39">
        <f>56.06+567.94+5703.76+30176.2</f>
        <v>36503.96</v>
      </c>
      <c r="M7" s="37">
        <v>0</v>
      </c>
      <c r="N7" s="23">
        <f aca="true" t="shared" si="1" ref="N7:N39">B7+C7+D7+E7+F7+G7+H7+I7+J7+K7+L7+M7</f>
        <v>360694.60000000003</v>
      </c>
      <c r="O7" s="22" t="s">
        <v>71</v>
      </c>
      <c r="P7" s="28"/>
      <c r="Q7" s="27"/>
      <c r="R7" s="28">
        <f>844360-P7</f>
        <v>844360</v>
      </c>
      <c r="S7" s="5"/>
      <c r="T7" s="5"/>
      <c r="U7" s="5"/>
      <c r="V7" s="5"/>
      <c r="W7" s="5"/>
      <c r="X7" s="5"/>
      <c r="Y7" s="5"/>
    </row>
    <row r="8" spans="1:25" s="4" customFormat="1" ht="21" customHeight="1">
      <c r="A8" s="22">
        <v>212</v>
      </c>
      <c r="B8" s="36"/>
      <c r="C8" s="36"/>
      <c r="D8" s="36"/>
      <c r="E8" s="36"/>
      <c r="F8" s="36"/>
      <c r="G8" s="36"/>
      <c r="H8" s="37"/>
      <c r="I8" s="37"/>
      <c r="J8" s="37"/>
      <c r="K8" s="37"/>
      <c r="L8" s="37"/>
      <c r="M8" s="39"/>
      <c r="N8" s="23">
        <f t="shared" si="1"/>
        <v>0</v>
      </c>
      <c r="O8" s="22">
        <v>212</v>
      </c>
      <c r="P8" s="28"/>
      <c r="Q8" s="27"/>
      <c r="R8" s="28"/>
      <c r="S8" s="5"/>
      <c r="T8" s="5"/>
      <c r="U8" s="5"/>
      <c r="V8" s="5"/>
      <c r="W8" s="5"/>
      <c r="X8" s="5"/>
      <c r="Y8" s="5"/>
    </row>
    <row r="9" spans="1:25" s="14" customFormat="1" ht="18">
      <c r="A9" s="11">
        <v>221</v>
      </c>
      <c r="B9" s="12"/>
      <c r="C9" s="12">
        <v>3333.74</v>
      </c>
      <c r="D9" s="12">
        <v>2367</v>
      </c>
      <c r="E9" s="12">
        <v>3323.04</v>
      </c>
      <c r="F9" s="12">
        <v>3230.04</v>
      </c>
      <c r="G9" s="12">
        <v>7389</v>
      </c>
      <c r="H9" s="12">
        <v>2508.36</v>
      </c>
      <c r="I9" s="12">
        <v>3464.4</v>
      </c>
      <c r="J9" s="12">
        <v>2696.22</v>
      </c>
      <c r="K9" s="12">
        <v>2363.28</v>
      </c>
      <c r="L9" s="12">
        <f>3948</f>
        <v>3948</v>
      </c>
      <c r="M9" s="12">
        <f>3131.91+3156</f>
        <v>6287.91</v>
      </c>
      <c r="N9" s="17">
        <f t="shared" si="1"/>
        <v>40910.990000000005</v>
      </c>
      <c r="O9" s="11">
        <v>221</v>
      </c>
      <c r="P9" s="19"/>
      <c r="Q9" s="29"/>
      <c r="R9" s="29"/>
      <c r="S9" s="1"/>
      <c r="T9" s="1"/>
      <c r="U9" s="1"/>
      <c r="V9" s="1"/>
      <c r="W9" s="1"/>
      <c r="X9" s="1"/>
      <c r="Y9" s="1"/>
    </row>
    <row r="10" spans="1:25" s="14" customFormat="1" ht="21" customHeight="1">
      <c r="A10" s="13" t="s">
        <v>5</v>
      </c>
      <c r="B10" s="12">
        <f>B11+B12+B13+B14+B15</f>
        <v>11410.08</v>
      </c>
      <c r="C10" s="12">
        <f aca="true" t="shared" si="2" ref="C10:M10">C11+C12+C13+C14+C15</f>
        <v>186830.02000000002</v>
      </c>
      <c r="D10" s="12">
        <f t="shared" si="2"/>
        <v>224804.38</v>
      </c>
      <c r="E10" s="12">
        <f>E11+E12+E13+E14+E15</f>
        <v>165372.88999999998</v>
      </c>
      <c r="F10" s="12">
        <f t="shared" si="2"/>
        <v>113704.92000000001</v>
      </c>
      <c r="G10" s="12">
        <f t="shared" si="2"/>
        <v>16672.57</v>
      </c>
      <c r="H10" s="12">
        <f t="shared" si="2"/>
        <v>19948.4</v>
      </c>
      <c r="I10" s="12">
        <f>I11+I12+I13+I14+I15</f>
        <v>6226.9400000000005</v>
      </c>
      <c r="J10" s="12">
        <f t="shared" si="2"/>
        <v>3134.62</v>
      </c>
      <c r="K10" s="12">
        <f t="shared" si="2"/>
        <v>20071.930000000004</v>
      </c>
      <c r="L10" s="12">
        <f t="shared" si="2"/>
        <v>135312.09</v>
      </c>
      <c r="M10" s="12">
        <f t="shared" si="2"/>
        <v>451121.78</v>
      </c>
      <c r="N10" s="17">
        <f>B10+C10+D10+E10+F10+G10+H10+I10+J10+K10+L10+M10</f>
        <v>1354610.62</v>
      </c>
      <c r="O10" s="13" t="s">
        <v>5</v>
      </c>
      <c r="P10" s="29"/>
      <c r="Q10" s="29"/>
      <c r="R10" s="29"/>
      <c r="S10" s="1"/>
      <c r="T10" s="1"/>
      <c r="U10" s="1"/>
      <c r="V10" s="1"/>
      <c r="W10" s="1"/>
      <c r="X10" s="1"/>
      <c r="Y10" s="1"/>
    </row>
    <row r="11" spans="1:25" ht="21" customHeight="1">
      <c r="A11" s="9" t="s">
        <v>6</v>
      </c>
      <c r="B11" s="10">
        <f>1.38+6521.11+4887.59</f>
        <v>11410.08</v>
      </c>
      <c r="C11" s="10">
        <f>3665.69+4031.83</f>
        <v>7697.52</v>
      </c>
      <c r="D11" s="10">
        <f>3023.87+9455.97+7393.04</f>
        <v>19872.88</v>
      </c>
      <c r="E11" s="10">
        <f>5544.78+9996.47+9213.54</f>
        <v>24754.79</v>
      </c>
      <c r="F11" s="10">
        <f>6910.15+8909.94+7516.54</f>
        <v>23336.63</v>
      </c>
      <c r="G11" s="10">
        <f>6682.45+6284.71</f>
        <v>12967.16</v>
      </c>
      <c r="H11" s="10">
        <f>5122.61+6277.64</f>
        <v>11400.25</v>
      </c>
      <c r="I11" s="10">
        <f>4708.24+1301.1</f>
        <v>6009.34</v>
      </c>
      <c r="J11" s="10">
        <f>975.83+1520.92</f>
        <v>2496.75</v>
      </c>
      <c r="K11" s="10">
        <f>1140.68+6754.9+9797.68</f>
        <v>17693.260000000002</v>
      </c>
      <c r="L11" s="10">
        <f>7348.26+9576.65+13290.41+22566.54</f>
        <v>52781.86</v>
      </c>
      <c r="M11" s="10">
        <f>16924.91+11713.7</f>
        <v>28638.61</v>
      </c>
      <c r="N11" s="17">
        <f t="shared" si="1"/>
        <v>219059.13</v>
      </c>
      <c r="O11" s="9" t="s">
        <v>6</v>
      </c>
      <c r="P11" s="29"/>
      <c r="Q11" s="29"/>
      <c r="R11" s="29"/>
      <c r="S11" s="1"/>
      <c r="T11" s="1"/>
      <c r="U11" s="1"/>
      <c r="V11" s="1"/>
      <c r="W11" s="1"/>
      <c r="X11" s="1"/>
      <c r="Y11" s="1"/>
    </row>
    <row r="12" spans="1:25" ht="21" customHeight="1">
      <c r="A12" s="9" t="s">
        <v>86</v>
      </c>
      <c r="B12" s="10"/>
      <c r="C12" s="10">
        <v>434.21</v>
      </c>
      <c r="D12" s="10">
        <v>434.21</v>
      </c>
      <c r="E12" s="10">
        <f>434.21*2</f>
        <v>868.42</v>
      </c>
      <c r="F12" s="10"/>
      <c r="G12" s="10">
        <v>434.21</v>
      </c>
      <c r="H12" s="10">
        <f>434.21*2</f>
        <v>868.42</v>
      </c>
      <c r="I12" s="10"/>
      <c r="J12" s="10">
        <v>420.27</v>
      </c>
      <c r="K12" s="10">
        <v>420.27</v>
      </c>
      <c r="L12" s="10">
        <v>420.27</v>
      </c>
      <c r="M12" s="10">
        <f>420.27*2</f>
        <v>840.54</v>
      </c>
      <c r="N12" s="17">
        <f>B12+C12+D12+E12+F12+G12+H12+I12+J12+K12+L12+M12</f>
        <v>5140.82</v>
      </c>
      <c r="O12" s="9" t="s">
        <v>86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" customHeight="1">
      <c r="A13" s="9" t="s">
        <v>37</v>
      </c>
      <c r="B13" s="10"/>
      <c r="C13" s="10">
        <v>177062.69</v>
      </c>
      <c r="D13" s="10">
        <v>202861.69</v>
      </c>
      <c r="E13" s="10">
        <v>138931.88</v>
      </c>
      <c r="F13" s="10">
        <v>88732.69</v>
      </c>
      <c r="G13" s="10"/>
      <c r="H13" s="10"/>
      <c r="I13" s="10"/>
      <c r="J13" s="10"/>
      <c r="K13" s="10"/>
      <c r="L13" s="10">
        <f>67502.48</f>
        <v>67502.48</v>
      </c>
      <c r="M13" s="10">
        <f>155844.6+249482.15</f>
        <v>405326.75</v>
      </c>
      <c r="N13" s="17">
        <f t="shared" si="1"/>
        <v>1080418.18</v>
      </c>
      <c r="O13" s="9" t="s">
        <v>37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" customHeight="1">
      <c r="A14" s="9" t="s">
        <v>7</v>
      </c>
      <c r="B14" s="10"/>
      <c r="C14" s="10">
        <v>1635.6</v>
      </c>
      <c r="D14" s="10">
        <v>1635.6</v>
      </c>
      <c r="E14" s="10">
        <v>817.8</v>
      </c>
      <c r="F14" s="10">
        <v>1635.6</v>
      </c>
      <c r="G14" s="10">
        <v>3271.2</v>
      </c>
      <c r="H14" s="10">
        <v>204.45</v>
      </c>
      <c r="I14" s="10">
        <v>217.6</v>
      </c>
      <c r="J14" s="10">
        <v>217.6</v>
      </c>
      <c r="K14" s="10">
        <v>1958.4</v>
      </c>
      <c r="L14" s="10">
        <f>1740.8+1653.76</f>
        <v>3394.56</v>
      </c>
      <c r="M14" s="10">
        <f>2611.2</f>
        <v>2611.2</v>
      </c>
      <c r="N14" s="17">
        <f t="shared" si="1"/>
        <v>17599.61</v>
      </c>
      <c r="O14" s="9" t="s">
        <v>7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1" customHeight="1">
      <c r="A15" s="9" t="s">
        <v>8</v>
      </c>
      <c r="B15" s="10"/>
      <c r="C15" s="10"/>
      <c r="D15" s="10"/>
      <c r="E15" s="10"/>
      <c r="F15" s="10"/>
      <c r="G15" s="10"/>
      <c r="H15" s="10">
        <v>7475.28</v>
      </c>
      <c r="I15" s="10"/>
      <c r="J15" s="10"/>
      <c r="K15" s="10"/>
      <c r="L15" s="10">
        <v>11212.92</v>
      </c>
      <c r="M15" s="10">
        <f>13704.68</f>
        <v>13704.68</v>
      </c>
      <c r="N15" s="17">
        <f t="shared" si="1"/>
        <v>32392.88</v>
      </c>
      <c r="O15" s="9" t="s">
        <v>8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1" customHeight="1">
      <c r="A16" s="30" t="s">
        <v>60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7">
        <f t="shared" si="1"/>
        <v>0</v>
      </c>
      <c r="O16" s="30" t="s">
        <v>60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14" customFormat="1" ht="27" customHeight="1">
      <c r="A17" s="33" t="s">
        <v>0</v>
      </c>
      <c r="B17" s="34">
        <f>B18+B19+B20+B21+B22+B23+B24+B25+B26+B27+B28+B29+B30+B31+B32+B35</f>
        <v>0</v>
      </c>
      <c r="C17" s="34">
        <f>C18+C19+C20+C21+C22+C23+C24+C25+C26+C27+C28+C29+C30+C31+C32+C35+C33</f>
        <v>31236.96</v>
      </c>
      <c r="D17" s="34">
        <f>D18+D19+D20+D21+D22+D23+D24+D25+D26+D27+D28+D29+D30+D31+D32+D35+D34</f>
        <v>10398.73</v>
      </c>
      <c r="E17" s="34">
        <f>E18+E19+E20+E21+E22+E23+E24+E25+E26+E27+E28+E29+E30+E31+E32+E35+E33</f>
        <v>29539.08</v>
      </c>
      <c r="F17" s="34">
        <f>F18+F19+F20+F21+F22+F23+F24+F25+F26+F27+F28+F29+F30+F31+F32+F35</f>
        <v>9311.400000000001</v>
      </c>
      <c r="G17" s="34">
        <f aca="true" t="shared" si="3" ref="G17:L17">G18+G19+G20+G21+G22+G23+G24+G25+G26+G27+G28+G29+G30+G31+G32+G35</f>
        <v>46469.37</v>
      </c>
      <c r="H17" s="34">
        <f t="shared" si="3"/>
        <v>82380.08</v>
      </c>
      <c r="I17" s="34">
        <f>I18+I19+I20+I21+I22+I23+I24+I25+I26+I27+I28+I29+I30+I31+I32+I35+I34</f>
        <v>13692.72</v>
      </c>
      <c r="J17" s="34">
        <f t="shared" si="3"/>
        <v>24079.2</v>
      </c>
      <c r="K17" s="34">
        <f t="shared" si="3"/>
        <v>38637.47</v>
      </c>
      <c r="L17" s="34">
        <f t="shared" si="3"/>
        <v>5204</v>
      </c>
      <c r="M17" s="34">
        <f>M18+M19+M20+M21+M22+M23+M24+M25+M26+M27+M28+M29+M30+M31+M32+M35+M33+M34</f>
        <v>24885.2</v>
      </c>
      <c r="N17" s="32">
        <f t="shared" si="1"/>
        <v>315834.21</v>
      </c>
      <c r="O17" s="33" t="s"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.75" customHeight="1">
      <c r="A18" s="9" t="s">
        <v>88</v>
      </c>
      <c r="B18" s="10"/>
      <c r="C18" s="10"/>
      <c r="D18" s="10"/>
      <c r="E18" s="10"/>
      <c r="F18" s="10"/>
      <c r="G18" s="10">
        <v>25828.2</v>
      </c>
      <c r="H18" s="10"/>
      <c r="I18" s="10"/>
      <c r="J18" s="10"/>
      <c r="K18" s="10"/>
      <c r="L18" s="10"/>
      <c r="M18" s="10"/>
      <c r="N18" s="17">
        <f t="shared" si="1"/>
        <v>25828.2</v>
      </c>
      <c r="O18" s="9" t="s">
        <v>88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3" customHeight="1">
      <c r="A19" s="9" t="s">
        <v>9</v>
      </c>
      <c r="B19" s="10"/>
      <c r="C19" s="10">
        <f>4104*2</f>
        <v>8208</v>
      </c>
      <c r="D19" s="10">
        <v>4104</v>
      </c>
      <c r="E19" s="10">
        <v>4104</v>
      </c>
      <c r="F19" s="10">
        <v>4398</v>
      </c>
      <c r="G19" s="10"/>
      <c r="H19" s="10">
        <f>4398*2</f>
        <v>8796</v>
      </c>
      <c r="I19" s="10"/>
      <c r="J19" s="10">
        <v>4398</v>
      </c>
      <c r="K19" s="10">
        <f>4398</f>
        <v>4398</v>
      </c>
      <c r="L19" s="10">
        <v>4104</v>
      </c>
      <c r="M19" s="10">
        <v>4104</v>
      </c>
      <c r="N19" s="17">
        <f t="shared" si="1"/>
        <v>46614</v>
      </c>
      <c r="O19" s="9" t="s">
        <v>9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1.5" customHeight="1">
      <c r="A20" s="9" t="s">
        <v>10</v>
      </c>
      <c r="B20" s="10"/>
      <c r="C20" s="10"/>
      <c r="D20" s="10"/>
      <c r="E20" s="10">
        <v>4080</v>
      </c>
      <c r="F20" s="10"/>
      <c r="G20" s="10">
        <v>4080</v>
      </c>
      <c r="H20" s="10"/>
      <c r="I20" s="10">
        <v>4080</v>
      </c>
      <c r="J20" s="10"/>
      <c r="K20" s="10"/>
      <c r="L20" s="10"/>
      <c r="M20" s="10"/>
      <c r="N20" s="17">
        <f t="shared" si="1"/>
        <v>12240</v>
      </c>
      <c r="O20" s="9" t="s">
        <v>10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" customHeight="1">
      <c r="A21" s="9" t="s">
        <v>79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7">
        <f t="shared" si="1"/>
        <v>0</v>
      </c>
      <c r="O21" s="9" t="s">
        <v>79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2.5" customHeight="1">
      <c r="A22" s="9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7">
        <f t="shared" si="1"/>
        <v>0</v>
      </c>
      <c r="O22" s="9" t="s">
        <v>11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 customHeight="1">
      <c r="A23" s="9" t="s">
        <v>12</v>
      </c>
      <c r="B23" s="10"/>
      <c r="C23" s="10">
        <f>573.88*2</f>
        <v>1147.76</v>
      </c>
      <c r="D23" s="10">
        <v>5194.73</v>
      </c>
      <c r="E23" s="10">
        <v>573.88</v>
      </c>
      <c r="F23" s="10">
        <v>573.88</v>
      </c>
      <c r="G23" s="10">
        <v>1974.65</v>
      </c>
      <c r="H23" s="10"/>
      <c r="I23" s="10"/>
      <c r="J23" s="10"/>
      <c r="K23" s="10">
        <v>23298.87</v>
      </c>
      <c r="L23" s="10"/>
      <c r="M23" s="10"/>
      <c r="N23" s="17">
        <f t="shared" si="1"/>
        <v>32763.769999999997</v>
      </c>
      <c r="O23" s="9" t="s">
        <v>12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4" customHeight="1">
      <c r="A24" s="9" t="s">
        <v>46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7">
        <f t="shared" si="1"/>
        <v>0</v>
      </c>
      <c r="O24" s="9" t="s">
        <v>46</v>
      </c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8.5" customHeight="1">
      <c r="A25" s="9" t="s">
        <v>48</v>
      </c>
      <c r="B25" s="10"/>
      <c r="C25" s="10">
        <f>1100*2</f>
        <v>2200</v>
      </c>
      <c r="D25" s="10">
        <v>1100</v>
      </c>
      <c r="E25" s="10">
        <v>1100</v>
      </c>
      <c r="F25" s="10"/>
      <c r="G25" s="10"/>
      <c r="H25" s="10"/>
      <c r="I25" s="10"/>
      <c r="J25" s="10"/>
      <c r="K25" s="10">
        <v>1100</v>
      </c>
      <c r="L25" s="10">
        <v>1100</v>
      </c>
      <c r="M25" s="10">
        <v>1100</v>
      </c>
      <c r="N25" s="17">
        <f t="shared" si="1"/>
        <v>7700</v>
      </c>
      <c r="O25" s="9" t="s">
        <v>48</v>
      </c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5.5" customHeight="1">
      <c r="A26" s="9" t="s">
        <v>49</v>
      </c>
      <c r="B26" s="10"/>
      <c r="C26" s="10"/>
      <c r="D26" s="10"/>
      <c r="E26" s="10"/>
      <c r="F26" s="10"/>
      <c r="G26" s="10">
        <v>9085.44</v>
      </c>
      <c r="H26" s="10"/>
      <c r="I26" s="10"/>
      <c r="J26" s="10"/>
      <c r="K26" s="10"/>
      <c r="L26" s="10"/>
      <c r="M26" s="10"/>
      <c r="N26" s="17">
        <f t="shared" si="1"/>
        <v>9085.44</v>
      </c>
      <c r="O26" s="9" t="s">
        <v>49</v>
      </c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">
      <c r="A27" s="9" t="s">
        <v>59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7">
        <f t="shared" si="1"/>
        <v>0</v>
      </c>
      <c r="O27" s="9" t="s">
        <v>59</v>
      </c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0" customHeight="1">
      <c r="A28" s="9" t="s">
        <v>93</v>
      </c>
      <c r="B28" s="10"/>
      <c r="C28" s="10"/>
      <c r="D28" s="10"/>
      <c r="E28" s="10"/>
      <c r="F28" s="10"/>
      <c r="G28" s="10"/>
      <c r="H28" s="10">
        <f>51234.3+2136.3</f>
        <v>53370.600000000006</v>
      </c>
      <c r="I28" s="10"/>
      <c r="J28" s="10"/>
      <c r="K28" s="10"/>
      <c r="L28" s="10"/>
      <c r="M28" s="10"/>
      <c r="N28" s="17">
        <f t="shared" si="1"/>
        <v>53370.600000000006</v>
      </c>
      <c r="O28" s="9" t="s">
        <v>93</v>
      </c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6.75" customHeight="1">
      <c r="A29" s="9" t="s">
        <v>13</v>
      </c>
      <c r="B29" s="10"/>
      <c r="C29" s="10"/>
      <c r="D29" s="10"/>
      <c r="E29" s="10"/>
      <c r="F29" s="10"/>
      <c r="G29" s="10"/>
      <c r="H29" s="10">
        <v>7645</v>
      </c>
      <c r="I29" s="10"/>
      <c r="J29" s="10"/>
      <c r="K29" s="10"/>
      <c r="L29" s="10"/>
      <c r="M29" s="10"/>
      <c r="N29" s="17">
        <f t="shared" si="1"/>
        <v>7645</v>
      </c>
      <c r="O29" s="9" t="s">
        <v>13</v>
      </c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6" customHeight="1">
      <c r="A30" s="9" t="s">
        <v>14</v>
      </c>
      <c r="B30" s="10"/>
      <c r="C30" s="10"/>
      <c r="D30" s="10"/>
      <c r="E30" s="10"/>
      <c r="F30" s="10"/>
      <c r="G30" s="10"/>
      <c r="H30" s="10">
        <v>2500</v>
      </c>
      <c r="I30" s="10"/>
      <c r="J30" s="10"/>
      <c r="K30" s="10"/>
      <c r="L30" s="10"/>
      <c r="M30" s="10"/>
      <c r="N30" s="17">
        <f t="shared" si="1"/>
        <v>2500</v>
      </c>
      <c r="O30" s="9" t="s">
        <v>14</v>
      </c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0" customHeight="1">
      <c r="A31" s="9" t="s">
        <v>72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7">
        <f t="shared" si="1"/>
        <v>0</v>
      </c>
      <c r="O31" s="9" t="s">
        <v>72</v>
      </c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7" customHeight="1">
      <c r="A32" s="9" t="s">
        <v>54</v>
      </c>
      <c r="B32" s="10"/>
      <c r="C32" s="10">
        <f>9840.6*2</f>
        <v>19681.2</v>
      </c>
      <c r="D32" s="10"/>
      <c r="E32" s="10">
        <f>9840.6+9840.6</f>
        <v>19681.2</v>
      </c>
      <c r="F32" s="10">
        <v>4339.52</v>
      </c>
      <c r="G32" s="10">
        <f>5501.08</f>
        <v>5501.08</v>
      </c>
      <c r="H32" s="10">
        <f>9840.6+227.88</f>
        <v>10068.48</v>
      </c>
      <c r="I32" s="10">
        <v>9612.72</v>
      </c>
      <c r="J32" s="10">
        <f>9840.6*2</f>
        <v>19681.2</v>
      </c>
      <c r="K32" s="10">
        <f>9840.6</f>
        <v>9840.6</v>
      </c>
      <c r="L32" s="10"/>
      <c r="M32" s="10">
        <f>9840.6*2</f>
        <v>19681.2</v>
      </c>
      <c r="N32" s="17">
        <f t="shared" si="1"/>
        <v>118087.2</v>
      </c>
      <c r="O32" s="9" t="s">
        <v>54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5.5" customHeight="1">
      <c r="A33" s="9" t="s">
        <v>58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7">
        <f t="shared" si="1"/>
        <v>0</v>
      </c>
      <c r="O33" s="9" t="s">
        <v>58</v>
      </c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1.5" customHeight="1">
      <c r="A34" s="9" t="s">
        <v>53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7">
        <f t="shared" si="1"/>
        <v>0</v>
      </c>
      <c r="O34" s="9" t="s">
        <v>53</v>
      </c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7" customHeight="1">
      <c r="A35" s="9" t="s">
        <v>61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7">
        <f t="shared" si="1"/>
        <v>0</v>
      </c>
      <c r="O35" s="9" t="s">
        <v>61</v>
      </c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14" customFormat="1" ht="27" customHeight="1">
      <c r="A36" s="13" t="s">
        <v>1</v>
      </c>
      <c r="B36" s="12">
        <f>B37+B38+B39+B40+B41+B42+B43+B44+B45+B46+B47+B48+B49+B57</f>
        <v>0</v>
      </c>
      <c r="C36" s="12">
        <f>C37+C38+C39+C40+C41+C42+C43+C44+C45+C46+C47+C48+C49+C57+C54</f>
        <v>14496</v>
      </c>
      <c r="D36" s="12">
        <f>D37+D38+D39+D40+D41+D42+D43+D44+D45+D46+D47+D48+D49+D50+D51+D52+D53+D54+D55+D56+D57</f>
        <v>4500</v>
      </c>
      <c r="E36" s="12">
        <f>E37+E38+E39+E40+E41+E42+E43+E44+E45+E46+E47+E48+E49+E57+E50</f>
        <v>18674</v>
      </c>
      <c r="F36" s="12">
        <f>F37+F38+F39+F40+F41+F42+F43+F44+F45+F46+F47+F48+F49+F57+F50+F54</f>
        <v>38665.6</v>
      </c>
      <c r="G36" s="12">
        <f>G37+G38+G39+G40+G41+G42+G43+G44+G45+G46+G47+G48+G49+G57+G50+G51+G52+G54+G55</f>
        <v>33689.4</v>
      </c>
      <c r="H36" s="12">
        <f>H37+H38+H39+H40+H41+H42+H43+H44+H45+H46+H47+H48+H49+H57+H50+H54</f>
        <v>62141.3</v>
      </c>
      <c r="I36" s="12">
        <f>I37+I38+I39+I40+I41+I42+I43+I44+I45+I46+I47+I48+I49+I57+I50+I54+I56</f>
        <v>4464</v>
      </c>
      <c r="J36" s="12">
        <f>J37+J38+J39+J40+J41+J42+J43+J44+J45+J46+J47+J48+J49+J57+J50+J54</f>
        <v>8784</v>
      </c>
      <c r="K36" s="12">
        <f>K37+K38+K39+K40+K41+K42+K43+K44+K45+K46+K47+K48+K49+K57+K50+K54</f>
        <v>67756</v>
      </c>
      <c r="L36" s="12">
        <f>L37+L38+L39+L40+L41+L42+L43+L44+L45+L46+L47+L48+L49+L57+L50+L53</f>
        <v>6300</v>
      </c>
      <c r="M36" s="12">
        <f>M37+M38+M39+M40+M41+M42+M43+M44+M45+M46+M47+M48+M49+M50+M53+M54+M56+M57+M55</f>
        <v>77546.2</v>
      </c>
      <c r="N36" s="17">
        <f t="shared" si="1"/>
        <v>337016.5</v>
      </c>
      <c r="O36" s="13" t="s">
        <v>1</v>
      </c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6" customFormat="1" ht="27" customHeight="1">
      <c r="A37" s="9" t="s">
        <v>15</v>
      </c>
      <c r="B37" s="10"/>
      <c r="C37" s="10"/>
      <c r="D37" s="10"/>
      <c r="E37" s="10">
        <v>4290</v>
      </c>
      <c r="F37" s="10"/>
      <c r="G37" s="10"/>
      <c r="H37" s="10">
        <v>19739</v>
      </c>
      <c r="I37" s="10"/>
      <c r="J37" s="10"/>
      <c r="K37" s="10"/>
      <c r="L37" s="10"/>
      <c r="M37" s="10"/>
      <c r="N37" s="17">
        <f t="shared" si="1"/>
        <v>24029</v>
      </c>
      <c r="O37" s="9" t="s">
        <v>15</v>
      </c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6" customFormat="1" ht="25.5" customHeight="1">
      <c r="A38" s="9" t="s">
        <v>16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7">
        <f t="shared" si="1"/>
        <v>0</v>
      </c>
      <c r="O38" s="9" t="s">
        <v>16</v>
      </c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6" customFormat="1" ht="33" customHeight="1">
      <c r="A39" s="9" t="s">
        <v>80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7">
        <f t="shared" si="1"/>
        <v>0</v>
      </c>
      <c r="O39" s="9" t="s">
        <v>80</v>
      </c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6" customFormat="1" ht="31.5" customHeight="1">
      <c r="A40" s="9" t="s">
        <v>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7">
        <f aca="true" t="shared" si="4" ref="N40:N76">B40+C40+D40+E40+F40+G40+H40+I40+J40+K40+L40+M40</f>
        <v>0</v>
      </c>
      <c r="O40" s="9" t="s">
        <v>81</v>
      </c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6" customFormat="1" ht="33" customHeight="1">
      <c r="A41" s="9" t="s">
        <v>95</v>
      </c>
      <c r="B41" s="10"/>
      <c r="C41" s="10"/>
      <c r="D41" s="10"/>
      <c r="E41" s="10"/>
      <c r="F41" s="10"/>
      <c r="G41" s="10"/>
      <c r="H41" s="10"/>
      <c r="I41" s="10"/>
      <c r="J41" s="10"/>
      <c r="K41" s="10">
        <v>3900</v>
      </c>
      <c r="L41" s="10"/>
      <c r="M41" s="10"/>
      <c r="N41" s="17">
        <f t="shared" si="4"/>
        <v>3900</v>
      </c>
      <c r="O41" s="9" t="s">
        <v>95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6" customFormat="1" ht="30" customHeight="1">
      <c r="A42" s="9" t="s">
        <v>73</v>
      </c>
      <c r="B42" s="10"/>
      <c r="C42" s="10"/>
      <c r="D42" s="10"/>
      <c r="E42" s="10"/>
      <c r="F42" s="10"/>
      <c r="G42" s="10"/>
      <c r="H42" s="10">
        <f>8895.1</f>
        <v>8895.1</v>
      </c>
      <c r="I42" s="10"/>
      <c r="J42" s="10"/>
      <c r="K42" s="10"/>
      <c r="L42" s="10"/>
      <c r="M42" s="10"/>
      <c r="N42" s="17">
        <f t="shared" si="4"/>
        <v>8895.1</v>
      </c>
      <c r="O42" s="9" t="s">
        <v>73</v>
      </c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6" customFormat="1" ht="31.5" customHeight="1">
      <c r="A43" s="9" t="s">
        <v>21</v>
      </c>
      <c r="B43" s="10"/>
      <c r="C43" s="10"/>
      <c r="D43" s="10"/>
      <c r="E43" s="10"/>
      <c r="F43" s="10"/>
      <c r="G43" s="10"/>
      <c r="H43" s="10">
        <v>2400</v>
      </c>
      <c r="I43" s="10"/>
      <c r="J43" s="10"/>
      <c r="K43" s="10"/>
      <c r="L43" s="10"/>
      <c r="M43" s="10"/>
      <c r="N43" s="17">
        <f t="shared" si="4"/>
        <v>2400</v>
      </c>
      <c r="O43" s="9" t="s">
        <v>21</v>
      </c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6" customFormat="1" ht="28.5" customHeight="1">
      <c r="A44" s="9" t="s">
        <v>24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>
        <v>2400</v>
      </c>
      <c r="M44" s="10"/>
      <c r="N44" s="17">
        <f t="shared" si="4"/>
        <v>2400</v>
      </c>
      <c r="O44" s="9" t="s">
        <v>24</v>
      </c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6" customFormat="1" ht="30" customHeigh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7">
        <f t="shared" si="4"/>
        <v>0</v>
      </c>
      <c r="O45" s="9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6" customFormat="1" ht="43.5" customHeight="1">
      <c r="A46" s="9" t="s">
        <v>90</v>
      </c>
      <c r="B46" s="10"/>
      <c r="C46" s="10"/>
      <c r="D46" s="10"/>
      <c r="E46" s="10"/>
      <c r="F46" s="10"/>
      <c r="G46" s="10">
        <v>2499</v>
      </c>
      <c r="H46" s="10"/>
      <c r="I46" s="10"/>
      <c r="J46" s="10"/>
      <c r="K46" s="10"/>
      <c r="L46" s="10"/>
      <c r="M46" s="10"/>
      <c r="N46" s="17">
        <f t="shared" si="4"/>
        <v>2499</v>
      </c>
      <c r="O46" s="9" t="s">
        <v>90</v>
      </c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6" customFormat="1" ht="22.5" customHeight="1">
      <c r="A47" s="9" t="s">
        <v>87</v>
      </c>
      <c r="B47" s="10"/>
      <c r="C47" s="10"/>
      <c r="D47" s="10"/>
      <c r="E47" s="10"/>
      <c r="F47" s="10">
        <v>32665.6</v>
      </c>
      <c r="G47" s="10">
        <v>26726.4</v>
      </c>
      <c r="H47" s="10">
        <v>20787.2</v>
      </c>
      <c r="I47" s="10"/>
      <c r="J47" s="10"/>
      <c r="K47" s="10">
        <f>31180.8+28211.2</f>
        <v>59392</v>
      </c>
      <c r="L47" s="10"/>
      <c r="M47" s="10">
        <f>28211.2+29696</f>
        <v>57907.2</v>
      </c>
      <c r="N47" s="17">
        <f t="shared" si="4"/>
        <v>197478.40000000002</v>
      </c>
      <c r="O47" s="9" t="s">
        <v>87</v>
      </c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6" customFormat="1" ht="24" customHeight="1">
      <c r="A48" s="9" t="s">
        <v>47</v>
      </c>
      <c r="B48" s="10"/>
      <c r="C48" s="10">
        <f>4464+4032</f>
        <v>8496</v>
      </c>
      <c r="D48" s="10"/>
      <c r="E48" s="10">
        <f>4464+4320</f>
        <v>8784</v>
      </c>
      <c r="F48" s="10"/>
      <c r="G48" s="10">
        <v>4464</v>
      </c>
      <c r="H48" s="10">
        <v>4320</v>
      </c>
      <c r="I48" s="10">
        <v>4464</v>
      </c>
      <c r="J48" s="10">
        <f>4464+4320</f>
        <v>8784</v>
      </c>
      <c r="K48" s="10">
        <v>4464</v>
      </c>
      <c r="L48" s="10"/>
      <c r="M48" s="10">
        <f>4320+4464</f>
        <v>8784</v>
      </c>
      <c r="N48" s="17">
        <f t="shared" si="4"/>
        <v>52560</v>
      </c>
      <c r="O48" s="9" t="s">
        <v>47</v>
      </c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6" customFormat="1" ht="33" customHeight="1">
      <c r="A49" s="9" t="s">
        <v>74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7">
        <f t="shared" si="4"/>
        <v>0</v>
      </c>
      <c r="O49" s="9" t="s">
        <v>74</v>
      </c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6" customFormat="1" ht="27" customHeight="1">
      <c r="A50" s="9" t="s">
        <v>57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7">
        <f t="shared" si="4"/>
        <v>0</v>
      </c>
      <c r="O50" s="9" t="s">
        <v>57</v>
      </c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6" customFormat="1" ht="27" customHeight="1">
      <c r="A51" s="9" t="s">
        <v>69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7">
        <f t="shared" si="4"/>
        <v>0</v>
      </c>
      <c r="O51" s="9" t="s">
        <v>69</v>
      </c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6" customFormat="1" ht="27" customHeight="1">
      <c r="A52" s="9" t="s">
        <v>85</v>
      </c>
      <c r="B52" s="10"/>
      <c r="C52" s="10"/>
      <c r="D52" s="10">
        <v>4500</v>
      </c>
      <c r="E52" s="10"/>
      <c r="F52" s="10"/>
      <c r="G52" s="10"/>
      <c r="H52" s="10"/>
      <c r="I52" s="10"/>
      <c r="J52" s="10"/>
      <c r="K52" s="10"/>
      <c r="L52" s="10"/>
      <c r="M52" s="10"/>
      <c r="N52" s="17">
        <f t="shared" si="4"/>
        <v>4500</v>
      </c>
      <c r="O52" s="9" t="s">
        <v>85</v>
      </c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6" customFormat="1" ht="46.5" customHeight="1">
      <c r="A53" s="9" t="s">
        <v>63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>
        <v>3900</v>
      </c>
      <c r="M53" s="10"/>
      <c r="N53" s="17">
        <f t="shared" si="4"/>
        <v>3900</v>
      </c>
      <c r="O53" s="9" t="s">
        <v>63</v>
      </c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6" customFormat="1" ht="28.5" customHeight="1">
      <c r="A54" s="9" t="s">
        <v>84</v>
      </c>
      <c r="B54" s="10"/>
      <c r="C54" s="10">
        <v>6000</v>
      </c>
      <c r="D54" s="10"/>
      <c r="E54" s="10"/>
      <c r="F54" s="10">
        <v>6000</v>
      </c>
      <c r="G54" s="10"/>
      <c r="H54" s="10">
        <v>6000</v>
      </c>
      <c r="I54" s="10"/>
      <c r="J54" s="10"/>
      <c r="K54" s="10"/>
      <c r="L54" s="10"/>
      <c r="M54" s="10">
        <v>6000</v>
      </c>
      <c r="N54" s="17">
        <f t="shared" si="4"/>
        <v>24000</v>
      </c>
      <c r="O54" s="9" t="s">
        <v>84</v>
      </c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6" customFormat="1" ht="28.5" customHeight="1">
      <c r="A55" s="9" t="s">
        <v>98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>
        <v>4855</v>
      </c>
      <c r="N55" s="17">
        <f t="shared" si="4"/>
        <v>4855</v>
      </c>
      <c r="O55" s="9" t="s">
        <v>98</v>
      </c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6" customFormat="1" ht="18">
      <c r="A56" s="9" t="s">
        <v>77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7">
        <f t="shared" si="4"/>
        <v>0</v>
      </c>
      <c r="O56" s="9" t="s">
        <v>77</v>
      </c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s="6" customFormat="1" ht="18">
      <c r="A57" s="9" t="s">
        <v>56</v>
      </c>
      <c r="B57" s="10"/>
      <c r="C57" s="10"/>
      <c r="D57" s="10"/>
      <c r="E57" s="10">
        <v>5600</v>
      </c>
      <c r="F57" s="10"/>
      <c r="G57" s="10"/>
      <c r="H57" s="10"/>
      <c r="I57" s="10"/>
      <c r="J57" s="10"/>
      <c r="K57" s="10"/>
      <c r="L57" s="10"/>
      <c r="M57" s="10"/>
      <c r="N57" s="17">
        <f t="shared" si="4"/>
        <v>5600</v>
      </c>
      <c r="O57" s="9" t="s">
        <v>56</v>
      </c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s="14" customFormat="1" ht="34.5" customHeight="1">
      <c r="A58" s="13" t="s">
        <v>17</v>
      </c>
      <c r="B58" s="12">
        <f>B59+B60+B61+B62+B63+B64+B65</f>
        <v>59438</v>
      </c>
      <c r="C58" s="12">
        <f>C59+C60+C61+C62+C63+C64+C65</f>
        <v>0</v>
      </c>
      <c r="D58" s="12">
        <f>D59+D60+D61+D62+D63+D64+D65</f>
        <v>0</v>
      </c>
      <c r="E58" s="12">
        <f>E59+E60+E61+E62+E63+E64+E65</f>
        <v>59439</v>
      </c>
      <c r="F58" s="12">
        <f aca="true" t="shared" si="5" ref="F58:M58">F59+F60+F61+F62+F63+F64+F65</f>
        <v>0</v>
      </c>
      <c r="G58" s="12">
        <f t="shared" si="5"/>
        <v>0</v>
      </c>
      <c r="H58" s="12">
        <f>H59+H60+H61+H62+H63+H64+H65</f>
        <v>39438</v>
      </c>
      <c r="I58" s="12">
        <f t="shared" si="5"/>
        <v>0</v>
      </c>
      <c r="J58" s="12">
        <f t="shared" si="5"/>
        <v>0</v>
      </c>
      <c r="K58" s="12">
        <f t="shared" si="5"/>
        <v>9439</v>
      </c>
      <c r="L58" s="12">
        <f t="shared" si="5"/>
        <v>0</v>
      </c>
      <c r="M58" s="12">
        <f t="shared" si="5"/>
        <v>154950.68</v>
      </c>
      <c r="N58" s="17">
        <f t="shared" si="4"/>
        <v>322704.68</v>
      </c>
      <c r="O58" s="13" t="s">
        <v>17</v>
      </c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s="6" customFormat="1" ht="28.5" customHeight="1">
      <c r="A59" s="9" t="s">
        <v>39</v>
      </c>
      <c r="B59" s="10">
        <v>50000</v>
      </c>
      <c r="C59" s="10"/>
      <c r="D59" s="10"/>
      <c r="E59" s="10">
        <v>50000</v>
      </c>
      <c r="F59" s="10"/>
      <c r="G59" s="10"/>
      <c r="H59" s="10">
        <v>29999</v>
      </c>
      <c r="I59" s="10"/>
      <c r="J59" s="10"/>
      <c r="K59" s="10"/>
      <c r="L59" s="10"/>
      <c r="M59" s="10">
        <f>50000+76634.68</f>
        <v>126634.68</v>
      </c>
      <c r="N59" s="17">
        <f t="shared" si="4"/>
        <v>256633.68</v>
      </c>
      <c r="O59" s="9" t="s">
        <v>39</v>
      </c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6" customFormat="1" ht="21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7">
        <f t="shared" si="4"/>
        <v>0</v>
      </c>
      <c r="O60" s="9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s="6" customFormat="1" ht="25.5" customHeight="1">
      <c r="A61" s="9" t="s">
        <v>18</v>
      </c>
      <c r="B61" s="10">
        <v>9438</v>
      </c>
      <c r="C61" s="10"/>
      <c r="D61" s="10"/>
      <c r="E61" s="10">
        <v>9439</v>
      </c>
      <c r="F61" s="10"/>
      <c r="G61" s="10"/>
      <c r="H61" s="10">
        <v>9439</v>
      </c>
      <c r="I61" s="10"/>
      <c r="J61" s="10"/>
      <c r="K61" s="10">
        <v>9439</v>
      </c>
      <c r="L61" s="10"/>
      <c r="M61" s="10">
        <f>28316</f>
        <v>28316</v>
      </c>
      <c r="N61" s="17">
        <f t="shared" si="4"/>
        <v>66071</v>
      </c>
      <c r="O61" s="9" t="s">
        <v>18</v>
      </c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6" customFormat="1" ht="27" customHeight="1">
      <c r="A62" s="9" t="s">
        <v>22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7">
        <f t="shared" si="4"/>
        <v>0</v>
      </c>
      <c r="O62" s="9" t="s">
        <v>22</v>
      </c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6" customFormat="1" ht="31.5" customHeight="1">
      <c r="A63" s="9" t="s">
        <v>19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7">
        <f t="shared" si="4"/>
        <v>0</v>
      </c>
      <c r="O63" s="9" t="s">
        <v>19</v>
      </c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6" customFormat="1" ht="27" customHeight="1">
      <c r="A64" s="9" t="s">
        <v>20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7">
        <f t="shared" si="4"/>
        <v>0</v>
      </c>
      <c r="O64" s="9" t="s">
        <v>20</v>
      </c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0" customHeight="1">
      <c r="A65" s="9" t="s">
        <v>23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7">
        <f t="shared" si="4"/>
        <v>0</v>
      </c>
      <c r="O65" s="9" t="s">
        <v>23</v>
      </c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14" customFormat="1" ht="31.5" customHeight="1">
      <c r="A66" s="11" t="s">
        <v>4</v>
      </c>
      <c r="B66" s="12">
        <f>B67</f>
        <v>0</v>
      </c>
      <c r="C66" s="12">
        <f>C67</f>
        <v>0</v>
      </c>
      <c r="D66" s="12">
        <f>D67</f>
        <v>0</v>
      </c>
      <c r="E66" s="12">
        <f>E67</f>
        <v>0</v>
      </c>
      <c r="F66" s="12">
        <f>F67</f>
        <v>0</v>
      </c>
      <c r="G66" s="12">
        <f>G67+G68+G69+G70+G71</f>
        <v>9000</v>
      </c>
      <c r="H66" s="12">
        <f aca="true" t="shared" si="6" ref="H66:N66">H67+H68+H69+H70+H71</f>
        <v>4715</v>
      </c>
      <c r="I66" s="12">
        <f t="shared" si="6"/>
        <v>0</v>
      </c>
      <c r="J66" s="12">
        <f t="shared" si="6"/>
        <v>0</v>
      </c>
      <c r="K66" s="12">
        <f t="shared" si="6"/>
        <v>0</v>
      </c>
      <c r="L66" s="12">
        <f t="shared" si="6"/>
        <v>0</v>
      </c>
      <c r="M66" s="12">
        <f t="shared" si="6"/>
        <v>6825</v>
      </c>
      <c r="N66" s="12">
        <f t="shared" si="6"/>
        <v>20540</v>
      </c>
      <c r="O66" s="11" t="s">
        <v>4</v>
      </c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s="6" customFormat="1" ht="19.5" customHeight="1">
      <c r="A67" s="9" t="s">
        <v>94</v>
      </c>
      <c r="B67" s="10"/>
      <c r="C67" s="10"/>
      <c r="D67" s="10"/>
      <c r="E67" s="10"/>
      <c r="F67" s="10"/>
      <c r="G67" s="10"/>
      <c r="H67" s="10">
        <f>2828+1887</f>
        <v>4715</v>
      </c>
      <c r="I67" s="10"/>
      <c r="J67" s="10"/>
      <c r="K67" s="10"/>
      <c r="L67" s="10"/>
      <c r="M67" s="10"/>
      <c r="N67" s="17">
        <f>B67+C67+D67+E67+F67+G67+H67+I67+J67+K67+L67+M67</f>
        <v>4715</v>
      </c>
      <c r="O67" s="9" t="s">
        <v>94</v>
      </c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s="6" customFormat="1" ht="27" customHeight="1">
      <c r="A68" s="9" t="s">
        <v>55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7">
        <f>B68+C68+D68+E68+F68+G68+H68+I68+J68+K68+L68+M68</f>
        <v>0</v>
      </c>
      <c r="O68" s="9" t="s">
        <v>55</v>
      </c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s="6" customFormat="1" ht="27" customHeight="1">
      <c r="A69" s="9" t="s">
        <v>66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7">
        <f>B69+C69+D69+E69+F69+G69+H69+I69+J69+K69+L69+M69</f>
        <v>0</v>
      </c>
      <c r="O69" s="9" t="s">
        <v>66</v>
      </c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s="6" customFormat="1" ht="27" customHeight="1">
      <c r="A70" s="9" t="s">
        <v>97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>
        <v>6825</v>
      </c>
      <c r="N70" s="17">
        <f>B70+C70+D70+E70+F70+G70+H70+I70+J70+K70+L70+M70</f>
        <v>6825</v>
      </c>
      <c r="O70" s="9" t="s">
        <v>78</v>
      </c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s="6" customFormat="1" ht="28.5" customHeight="1">
      <c r="A71" s="9" t="s">
        <v>89</v>
      </c>
      <c r="B71" s="10"/>
      <c r="C71" s="10"/>
      <c r="D71" s="10"/>
      <c r="E71" s="10"/>
      <c r="F71" s="10"/>
      <c r="G71" s="10">
        <v>9000</v>
      </c>
      <c r="H71" s="10"/>
      <c r="I71" s="10"/>
      <c r="J71" s="10"/>
      <c r="K71" s="10"/>
      <c r="L71" s="10"/>
      <c r="M71" s="10"/>
      <c r="N71" s="17">
        <f t="shared" si="4"/>
        <v>9000</v>
      </c>
      <c r="O71" s="9" t="s">
        <v>89</v>
      </c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s="14" customFormat="1" ht="34.5" customHeight="1">
      <c r="A72" s="13" t="s">
        <v>2</v>
      </c>
      <c r="B72" s="12">
        <f>B73+B74+B76+B82+B81</f>
        <v>0</v>
      </c>
      <c r="C72" s="12">
        <f>C73+C74+C76+C82+C81</f>
        <v>17714</v>
      </c>
      <c r="D72" s="12">
        <f>D73+D74+D75+D76+D82+D77+D78+D79+D80+D81</f>
        <v>0</v>
      </c>
      <c r="E72" s="12">
        <f>E73+E74+E75+E76+E82+E77+E78+E79+E80+E81</f>
        <v>0</v>
      </c>
      <c r="F72" s="12">
        <f>F73+F74+F75+F76+F82+F77+F78+F79+F80+F81</f>
        <v>0</v>
      </c>
      <c r="G72" s="12">
        <f>G73+G74+G75+G76+G82+G77+G78+G79+G80+G81</f>
        <v>18535.37</v>
      </c>
      <c r="H72" s="12">
        <f>H73+H74+H75+H76+H77+H78+H79+H80+H81+H82</f>
        <v>6064.63</v>
      </c>
      <c r="I72" s="12">
        <f>I73+I74+I76+I82+I81+I75+I79</f>
        <v>0</v>
      </c>
      <c r="J72" s="12">
        <f>J73+J74+J76+J82+J80+J81+J78+J75</f>
        <v>0</v>
      </c>
      <c r="K72" s="12">
        <f>K73+K74+K76+K82+K80+K81+K78+K75</f>
        <v>0</v>
      </c>
      <c r="L72" s="12">
        <f>L73+L74+L76+L82+L80+L81+L78+L75</f>
        <v>0</v>
      </c>
      <c r="M72" s="12">
        <f>M73+M74+M75+M76+M77+M78+M79+M80+M81+M82</f>
        <v>43969</v>
      </c>
      <c r="N72" s="17">
        <f>B72+C72+D72+E72+F72+G72+H72+I72+J72+K72+L72+M72</f>
        <v>86283</v>
      </c>
      <c r="O72" s="13" t="s">
        <v>2</v>
      </c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30" customHeight="1">
      <c r="A73" s="9" t="s">
        <v>92</v>
      </c>
      <c r="B73" s="10"/>
      <c r="C73" s="10"/>
      <c r="D73" s="10"/>
      <c r="E73" s="10"/>
      <c r="F73" s="10"/>
      <c r="G73" s="10"/>
      <c r="H73" s="10">
        <v>4600</v>
      </c>
      <c r="I73" s="10"/>
      <c r="J73" s="10"/>
      <c r="K73" s="10"/>
      <c r="L73" s="10"/>
      <c r="M73" s="10"/>
      <c r="N73" s="17">
        <f t="shared" si="4"/>
        <v>4600</v>
      </c>
      <c r="O73" s="9" t="s">
        <v>92</v>
      </c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5.5" customHeight="1">
      <c r="A74" s="9" t="s">
        <v>28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7">
        <f t="shared" si="4"/>
        <v>0</v>
      </c>
      <c r="O74" s="9" t="s">
        <v>28</v>
      </c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4" customHeight="1">
      <c r="A75" s="9" t="s">
        <v>50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7">
        <f t="shared" si="4"/>
        <v>0</v>
      </c>
      <c r="O75" s="9" t="s">
        <v>50</v>
      </c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9.25" customHeight="1">
      <c r="A76" s="9" t="s">
        <v>91</v>
      </c>
      <c r="B76" s="10"/>
      <c r="C76" s="10"/>
      <c r="D76" s="10"/>
      <c r="E76" s="10"/>
      <c r="F76" s="10"/>
      <c r="G76" s="10">
        <f>20000-1464.63</f>
        <v>18535.37</v>
      </c>
      <c r="H76" s="10">
        <v>1464.63</v>
      </c>
      <c r="I76" s="10"/>
      <c r="J76" s="10"/>
      <c r="K76" s="10"/>
      <c r="L76" s="10"/>
      <c r="M76" s="10">
        <v>10159</v>
      </c>
      <c r="N76" s="17">
        <f t="shared" si="4"/>
        <v>30159</v>
      </c>
      <c r="O76" s="9" t="s">
        <v>91</v>
      </c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9.25" customHeight="1">
      <c r="A77" s="9" t="s">
        <v>62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>
        <v>10130</v>
      </c>
      <c r="N77" s="17">
        <f aca="true" t="shared" si="7" ref="N77:N82">B77+C77+D77+E77+F77+G77+H77+I77+J77+K77+L77+M77</f>
        <v>10130</v>
      </c>
      <c r="O77" s="9" t="s">
        <v>62</v>
      </c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9.25" customHeight="1">
      <c r="A78" s="9" t="s">
        <v>65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7">
        <f t="shared" si="7"/>
        <v>0</v>
      </c>
      <c r="O78" s="9" t="s">
        <v>65</v>
      </c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9.25" customHeight="1">
      <c r="A79" s="9" t="s">
        <v>76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7">
        <f t="shared" si="7"/>
        <v>0</v>
      </c>
      <c r="O79" s="9" t="s">
        <v>76</v>
      </c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5.25" customHeight="1">
      <c r="A80" s="9" t="s">
        <v>99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>
        <v>23680</v>
      </c>
      <c r="N80" s="17">
        <f t="shared" si="7"/>
        <v>23680</v>
      </c>
      <c r="O80" s="9" t="s">
        <v>64</v>
      </c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5.25" customHeight="1">
      <c r="A81" s="9" t="s">
        <v>82</v>
      </c>
      <c r="B81" s="10"/>
      <c r="C81" s="10">
        <v>11000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7">
        <f t="shared" si="7"/>
        <v>11000</v>
      </c>
      <c r="O81" s="9" t="s">
        <v>82</v>
      </c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7" customHeight="1">
      <c r="A82" s="9" t="s">
        <v>83</v>
      </c>
      <c r="B82" s="10"/>
      <c r="C82" s="10">
        <v>6714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7">
        <f t="shared" si="7"/>
        <v>6714</v>
      </c>
      <c r="O82" s="9" t="s">
        <v>83</v>
      </c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s="14" customFormat="1" ht="34.5" customHeight="1">
      <c r="A83" s="13" t="s">
        <v>3</v>
      </c>
      <c r="B83" s="12">
        <f aca="true" t="shared" si="8" ref="B83:K83">B4+B7+B9+B10+B17+B36+B58+B66+B72</f>
        <v>160848.08000000002</v>
      </c>
      <c r="C83" s="12">
        <f t="shared" si="8"/>
        <v>388610.72000000003</v>
      </c>
      <c r="D83" s="12">
        <f t="shared" si="8"/>
        <v>377070.11</v>
      </c>
      <c r="E83" s="12">
        <f t="shared" si="8"/>
        <v>381348.01</v>
      </c>
      <c r="F83" s="12">
        <f t="shared" si="8"/>
        <v>269911.96</v>
      </c>
      <c r="G83" s="12">
        <f t="shared" si="8"/>
        <v>266755.71</v>
      </c>
      <c r="H83" s="12">
        <f t="shared" si="8"/>
        <v>423195.76999999996</v>
      </c>
      <c r="I83" s="12">
        <f t="shared" si="8"/>
        <v>107848.06</v>
      </c>
      <c r="J83" s="12">
        <f t="shared" si="8"/>
        <v>158694.04</v>
      </c>
      <c r="K83" s="12">
        <f t="shared" si="8"/>
        <v>258267.68</v>
      </c>
      <c r="L83" s="12">
        <f>L4+L7+L8+L9+L10+L17+L36+L58+L66+L72</f>
        <v>270764.08999999997</v>
      </c>
      <c r="M83" s="12">
        <f>M4+M7+M8+M9+M10+M17+M36+M58+M66+M72</f>
        <v>853285.77</v>
      </c>
      <c r="N83" s="12">
        <f>N4+N7+N8+N9+N10+N17+N36+N58+N66+N72</f>
        <v>3916600.0000000005</v>
      </c>
      <c r="O83" s="13" t="s">
        <v>3</v>
      </c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14" customFormat="1" ht="34.5" customHeight="1">
      <c r="A84" s="13" t="s">
        <v>51</v>
      </c>
      <c r="B84" s="12">
        <f>90000+74513.77</f>
        <v>164513.77000000002</v>
      </c>
      <c r="C84" s="12">
        <f>135000+252876.7</f>
        <v>387876.7</v>
      </c>
      <c r="D84" s="12">
        <f>135000+245691.02</f>
        <v>380691.02</v>
      </c>
      <c r="E84" s="12">
        <f>180000+277422.17</f>
        <v>457422.17</v>
      </c>
      <c r="F84" s="12">
        <f>30000+157285.22</f>
        <v>187285.22</v>
      </c>
      <c r="G84" s="12">
        <f>135000+131755.71</f>
        <v>266755.70999999996</v>
      </c>
      <c r="H84" s="12">
        <f>206000+217195.77</f>
        <v>423195.77</v>
      </c>
      <c r="I84" s="12">
        <f>80000+44552.51</f>
        <v>124552.51000000001</v>
      </c>
      <c r="J84" s="12">
        <f>120000+24519.22</f>
        <v>144519.22</v>
      </c>
      <c r="K84" s="12">
        <f>120000+135738.05</f>
        <v>255738.05</v>
      </c>
      <c r="L84" s="12">
        <f>120000+151327.43</f>
        <v>271327.43</v>
      </c>
      <c r="M84" s="12">
        <f>87700+765022.43</f>
        <v>852722.43</v>
      </c>
      <c r="N84" s="12">
        <f>SUM(B84:M84)</f>
        <v>3916600.0000000005</v>
      </c>
      <c r="O84" s="13" t="s">
        <v>51</v>
      </c>
      <c r="P84" s="24" t="e">
        <f>O84-N84</f>
        <v>#VALUE!</v>
      </c>
      <c r="Q84" s="1"/>
      <c r="R84" s="1"/>
      <c r="S84" s="1"/>
      <c r="T84" s="1"/>
      <c r="U84" s="1"/>
      <c r="V84" s="1"/>
      <c r="W84" s="1"/>
      <c r="X84" s="1"/>
      <c r="Y84" s="1"/>
    </row>
    <row r="85" spans="1:25" s="14" customFormat="1" ht="34.5" customHeight="1">
      <c r="A85" s="13" t="s">
        <v>52</v>
      </c>
      <c r="B85" s="12">
        <f>B84-B83</f>
        <v>3665.6900000000023</v>
      </c>
      <c r="C85" s="12">
        <f>B85+C84-C83</f>
        <v>2931.6699999999837</v>
      </c>
      <c r="D85" s="12">
        <f>C85+D84-D83</f>
        <v>6552.580000000016</v>
      </c>
      <c r="E85" s="12">
        <f>D85+E84-E83</f>
        <v>82626.73999999999</v>
      </c>
      <c r="F85" s="12">
        <f>E85+F84-F83</f>
        <v>0</v>
      </c>
      <c r="G85" s="12">
        <f>F85+G84-G83</f>
        <v>0</v>
      </c>
      <c r="H85" s="12">
        <f aca="true" t="shared" si="9" ref="H85:M85">G85+H84-H83</f>
        <v>0</v>
      </c>
      <c r="I85" s="12">
        <f>H85+I84-I83</f>
        <v>16704.45000000001</v>
      </c>
      <c r="J85" s="12">
        <f t="shared" si="9"/>
        <v>2529.6300000000047</v>
      </c>
      <c r="K85" s="12">
        <f t="shared" si="9"/>
        <v>0</v>
      </c>
      <c r="L85" s="12">
        <f t="shared" si="9"/>
        <v>563.3400000000256</v>
      </c>
      <c r="M85" s="12">
        <f t="shared" si="9"/>
        <v>0</v>
      </c>
      <c r="N85" s="12">
        <f>N84-N83</f>
        <v>0</v>
      </c>
      <c r="O85" s="13" t="s">
        <v>52</v>
      </c>
      <c r="P85" s="35"/>
      <c r="Q85" s="1"/>
      <c r="R85" s="1"/>
      <c r="S85" s="1"/>
      <c r="T85" s="1"/>
      <c r="U85" s="1"/>
      <c r="V85" s="1"/>
      <c r="W85" s="1"/>
      <c r="X85" s="1"/>
      <c r="Y85" s="1"/>
    </row>
    <row r="86" spans="1:14" ht="18">
      <c r="A86" s="7" t="s">
        <v>29</v>
      </c>
      <c r="B86" s="3" t="s">
        <v>30</v>
      </c>
      <c r="D86" s="19"/>
      <c r="G86" s="19"/>
      <c r="H86" s="19"/>
      <c r="J86" s="19"/>
      <c r="K86" s="19"/>
      <c r="L86" s="19"/>
      <c r="M86" s="19"/>
      <c r="N86" s="19"/>
    </row>
    <row r="87" spans="3:14" ht="18">
      <c r="C87" s="19"/>
      <c r="D87" s="19"/>
      <c r="G87" s="19"/>
      <c r="I87" s="19"/>
      <c r="N87" s="19"/>
    </row>
    <row r="88" spans="1:13" ht="18">
      <c r="A88" s="7" t="s">
        <v>31</v>
      </c>
      <c r="B88" s="3" t="s">
        <v>32</v>
      </c>
      <c r="G88" s="19"/>
      <c r="H88" s="19"/>
      <c r="I88" s="19"/>
      <c r="J88" s="19"/>
      <c r="K88" s="19"/>
      <c r="L88" s="19"/>
      <c r="M88" s="19"/>
    </row>
    <row r="90" spans="13:14" ht="18">
      <c r="M90" s="19"/>
      <c r="N90" s="19">
        <f>7626.74+75000</f>
        <v>82626.74</v>
      </c>
    </row>
    <row r="91" spans="13:14" ht="18">
      <c r="M91" s="19"/>
      <c r="N91" s="19"/>
    </row>
    <row r="92" spans="13:14" ht="18">
      <c r="M92" s="19"/>
      <c r="N92" s="19"/>
    </row>
    <row r="93" spans="13:14" ht="18">
      <c r="M93" s="19"/>
      <c r="N93" s="19"/>
    </row>
    <row r="94" spans="13:16" ht="18">
      <c r="M94" s="19"/>
      <c r="N94" s="19"/>
      <c r="P94" s="25"/>
    </row>
  </sheetData>
  <sheetProtection/>
  <mergeCells count="2">
    <mergeCell ref="A2:B2"/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3" r:id="rId1"/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2017-09-01T08:41:05Z</cp:lastPrinted>
  <dcterms:created xsi:type="dcterms:W3CDTF">1996-10-08T23:32:33Z</dcterms:created>
  <dcterms:modified xsi:type="dcterms:W3CDTF">2019-12-27T07:56:32Z</dcterms:modified>
  <cp:category/>
  <cp:version/>
  <cp:contentType/>
  <cp:contentStatus/>
</cp:coreProperties>
</file>