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'!$A$1:$N$51</definedName>
  </definedNames>
  <calcPr fullCalcOnLoad="1"/>
</workbook>
</file>

<file path=xl/sharedStrings.xml><?xml version="1.0" encoding="utf-8"?>
<sst xmlns="http://schemas.openxmlformats.org/spreadsheetml/2006/main" count="100" uniqueCount="61">
  <si>
    <t>225 в.т.ч.</t>
  </si>
  <si>
    <t>226 в т.ч.</t>
  </si>
  <si>
    <t>340 в т.ч.</t>
  </si>
  <si>
    <t>ВСЕГО</t>
  </si>
  <si>
    <t xml:space="preserve">310 в т.ч. </t>
  </si>
  <si>
    <t>212 в т.ч.</t>
  </si>
  <si>
    <t>учебники</t>
  </si>
  <si>
    <t>канцел.товары</t>
  </si>
  <si>
    <t>211 в т.ч.</t>
  </si>
  <si>
    <t>итого</t>
  </si>
  <si>
    <t>зправка картриджей</t>
  </si>
  <si>
    <t>услуги парус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</si>
  <si>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</si>
  <si>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</si>
  <si>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</si>
  <si>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</si>
  <si>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</si>
  <si>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</si>
  <si>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</si>
  <si>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сдача отчетности пенс.и налог.с ЭЦП Контур</t>
  </si>
  <si>
    <t>март</t>
  </si>
  <si>
    <t>апрель</t>
  </si>
  <si>
    <t>май</t>
  </si>
  <si>
    <t>июнь</t>
  </si>
  <si>
    <t>лицензионное программное обеспечение(Парус)</t>
  </si>
  <si>
    <t>хоз.товары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</si>
  <si>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</si>
  <si>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</si>
  <si>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</si>
  <si>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</si>
  <si>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</si>
  <si>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</si>
  <si>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лицензионное программное обеспечение </t>
  </si>
  <si>
    <t>ФИНАНСИРОВАНИЕ</t>
  </si>
  <si>
    <t>Остаток на счете</t>
  </si>
  <si>
    <t>обучение педработников (курсы повыш.квалификации)</t>
  </si>
  <si>
    <t>ремонт огр.техники</t>
  </si>
  <si>
    <t>раб.тетради</t>
  </si>
  <si>
    <t>м/осмотр педработников</t>
  </si>
  <si>
    <t>комплектующие на компьютер</t>
  </si>
  <si>
    <t>з/плата гарантированная</t>
  </si>
  <si>
    <t>надбавки педработникам</t>
  </si>
  <si>
    <t>премии</t>
  </si>
  <si>
    <t>повышающий коэффициент</t>
  </si>
  <si>
    <t>командировочные расходы (суточные,проезд.проживание)</t>
  </si>
  <si>
    <t>АИС-Контингент</t>
  </si>
  <si>
    <t>АРМ по ЕГЭ</t>
  </si>
  <si>
    <t>надбавки за качество и результативность</t>
  </si>
  <si>
    <t>мебель</t>
  </si>
  <si>
    <t>учебные пособия</t>
  </si>
  <si>
    <t>оргтехника</t>
  </si>
  <si>
    <t>картриджи</t>
  </si>
  <si>
    <t>обслуживание сайта школы</t>
  </si>
  <si>
    <t>эл.школа</t>
  </si>
  <si>
    <t>диктофон на егэ</t>
  </si>
  <si>
    <t>ЭЦП на ФРДО</t>
  </si>
  <si>
    <t>компьютеры</t>
  </si>
  <si>
    <t>шахмат.набор</t>
  </si>
  <si>
    <t>адапторы на интернет</t>
  </si>
  <si>
    <t>обучение гл.бух-ра по новым стандартам</t>
  </si>
  <si>
    <t>Информация о расходовании средств областного бюджета (субвенции) за январь-октябрь 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</si>
</sst>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4" fontId="5" fillId="4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4" borderId="0" xfId="0" applyNumberFormat="1" applyFont="1" applyFill="1" applyBorder="1" applyAlignment="1">
      <alignment/>
    </xf>
    <xf numFmtId="183" fontId="7" fillId="4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wrapText="1"/>
    </xf>
    <xf numFmtId="184" fontId="5" fillId="0" borderId="13" xfId="0" applyNumberFormat="1" applyFont="1" applyFill="1" applyBorder="1" applyAlignment="1">
      <alignment wrapText="1"/>
    </xf>
    <xf numFmtId="180" fontId="5" fillId="0" borderId="14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="75" zoomScaleNormal="50" zoomScaleSheetLayoutView="75" zoomScalePageLayoutView="0" workbookViewId="0" topLeftCell="A1">
      <selection activeCell="K48" sqref="K48"/>
    </sheetView>
  </sheetViews>
  <sheetFormatPr defaultColWidth="9.140625" defaultRowHeight="12.75"/>
  <cols>
    <col min="1" max="1" width="78.421875" style="7" customWidth="1"/>
    <col min="2" max="2" width="18.00390625" style="3" customWidth="1"/>
    <col min="3" max="3" width="23.28125" style="3" customWidth="1"/>
    <col min="4" max="4" width="19.8515625" style="3" customWidth="1"/>
    <col min="5" max="5" width="20.7109375" style="3" customWidth="1"/>
    <col min="6" max="6" width="20.421875" style="3" customWidth="1"/>
    <col min="7" max="7" width="20.57421875" style="3" customWidth="1"/>
    <col min="8" max="8" width="19.00390625" style="3" customWidth="1"/>
    <col min="9" max="9" width="18.421875" style="3" customWidth="1"/>
    <col min="10" max="10" width="23.28125" style="3" customWidth="1"/>
    <col min="11" max="11" width="19.8515625" style="3" customWidth="1"/>
    <col min="12" max="12" width="0.42578125" style="3" customWidth="1"/>
    <col min="13" max="13" width="0.9921875" style="3" customWidth="1"/>
    <col min="14" max="14" width="22.7109375" style="3" customWidth="1"/>
    <col min="15" max="15" width="68.7109375" style="2" customWidth="1"/>
    <col min="16" max="16" width="15.421875" style="2" customWidth="1"/>
    <col min="17" max="17" width="10.140625" style="2" customWidth="1"/>
    <col min="18" max="16384" width="9.140625" style="2" customWidth="1"/>
  </cols>
  <sheetData>
    <row r="1" spans="1:14" ht="54.75" customHeight="1">
      <c r="A1" s="28" t="s">
        <v>60</v>
      </c>
      <c r="B1" s="2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.75" customHeight="1">
      <c r="A2" s="26" t="s">
        <v>12</v>
      </c>
      <c r="B2" s="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2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5" s="4" customFormat="1" ht="31.5" customHeight="1">
      <c r="A4" s="9"/>
      <c r="B4" s="23" t="s">
        <v>13</v>
      </c>
      <c r="C4" s="23" t="s">
        <v>18</v>
      </c>
      <c r="D4" s="23" t="s">
        <v>20</v>
      </c>
      <c r="E4" s="23" t="s">
        <v>21</v>
      </c>
      <c r="F4" s="23" t="s">
        <v>22</v>
      </c>
      <c r="G4" s="23" t="s">
        <v>23</v>
      </c>
      <c r="H4" s="23" t="s">
        <v>26</v>
      </c>
      <c r="I4" s="23" t="s">
        <v>27</v>
      </c>
      <c r="J4" s="23" t="s">
        <v>28</v>
      </c>
      <c r="K4" s="23" t="s">
        <v>29</v>
      </c>
      <c r="L4" s="23" t="s">
        <v>30</v>
      </c>
      <c r="M4" s="23" t="s">
        <v>31</v>
      </c>
      <c r="N4" s="25" t="s">
        <v>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5" customFormat="1" ht="24" customHeight="1">
      <c r="A5" s="12" t="s">
        <v>8</v>
      </c>
      <c r="B5" s="16">
        <f>B6+B7+B8+B10</f>
        <v>351248.35</v>
      </c>
      <c r="C5" s="16">
        <f aca="true" t="shared" si="0" ref="C5:M5">C6+C7+C8+C10</f>
        <v>628126.48</v>
      </c>
      <c r="D5" s="16">
        <f>D6+D7+D8+D10</f>
        <v>682796.31</v>
      </c>
      <c r="E5" s="16">
        <f>E6+E7+E8+E10</f>
        <v>615066.43</v>
      </c>
      <c r="F5" s="16">
        <f t="shared" si="0"/>
        <v>646610.3300000001</v>
      </c>
      <c r="G5" s="16">
        <f t="shared" si="0"/>
        <v>1479010.4100000001</v>
      </c>
      <c r="H5" s="16">
        <f t="shared" si="0"/>
        <v>282452.97</v>
      </c>
      <c r="I5" s="16">
        <f t="shared" si="0"/>
        <v>159936.95</v>
      </c>
      <c r="J5" s="16">
        <f t="shared" si="0"/>
        <v>461321.77</v>
      </c>
      <c r="K5" s="16">
        <f>K6+K7+K8+K10</f>
        <v>493577.10000000003</v>
      </c>
      <c r="L5" s="16">
        <f t="shared" si="0"/>
        <v>0</v>
      </c>
      <c r="M5" s="16">
        <f t="shared" si="0"/>
        <v>0</v>
      </c>
      <c r="N5" s="16">
        <f aca="true" t="shared" si="1" ref="N5:N11">B5+C5+D5+E5+F5+G5+H5+I5+J5+K5+L5+M5</f>
        <v>5800147.1</v>
      </c>
      <c r="O5" s="12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5" customFormat="1" ht="24" customHeight="1">
      <c r="A6" s="10" t="s">
        <v>40</v>
      </c>
      <c r="B6" s="22">
        <f>55500+295748.35</f>
        <v>351248.35</v>
      </c>
      <c r="C6" s="22">
        <f>94325.96+144344.57+262034.95+73121+4300+50000-C8</f>
        <v>619973.6799999999</v>
      </c>
      <c r="D6" s="22">
        <f>23753.07+72000+176424.36+328618.88-D8+30000+2000+50000</f>
        <v>674643.51</v>
      </c>
      <c r="E6" s="22">
        <f>99317.35+1338.18+309480.75+100000+9482+3000+10000+4000-E8+78448.15</f>
        <v>608951.8300000001</v>
      </c>
      <c r="F6" s="22">
        <f>48160.93+589449.4-105000+110000+4000</f>
        <v>646610.3300000001</v>
      </c>
      <c r="G6" s="22">
        <f>(117505.56+1222949.74-65344.89)-G8+200000+3900</f>
        <v>1475577.6500000001</v>
      </c>
      <c r="H6" s="22">
        <f>2847.08+9728.88+31811.53+215065.48+23000</f>
        <v>282452.97</v>
      </c>
      <c r="I6" s="22">
        <f>(37000+107300+15636.95)-I8</f>
        <v>157775.22</v>
      </c>
      <c r="J6" s="22">
        <f>2852.18+13381.97+359087.62+86000-J8</f>
        <v>451810.17000000004</v>
      </c>
      <c r="K6" s="22">
        <f>67657.52+63659.01+274087.52+39509+44000+3064.05+1600-K8</f>
        <v>484065.50000000006</v>
      </c>
      <c r="L6" s="22"/>
      <c r="M6" s="22"/>
      <c r="N6" s="22">
        <f t="shared" si="1"/>
        <v>5753109.21</v>
      </c>
      <c r="O6" s="10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5" customFormat="1" ht="24" customHeight="1">
      <c r="A7" s="10" t="s">
        <v>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f t="shared" si="1"/>
        <v>0</v>
      </c>
      <c r="O7" s="10" t="s">
        <v>41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5" customFormat="1" ht="24" customHeight="1">
      <c r="A8" s="10" t="s">
        <v>43</v>
      </c>
      <c r="B8" s="22"/>
      <c r="C8" s="22">
        <v>8152.8</v>
      </c>
      <c r="D8" s="22">
        <v>8152.8</v>
      </c>
      <c r="E8" s="22">
        <v>6114.6</v>
      </c>
      <c r="F8" s="22">
        <v>0</v>
      </c>
      <c r="G8" s="22">
        <v>3432.76</v>
      </c>
      <c r="H8" s="22"/>
      <c r="I8" s="22">
        <f>2161.73</f>
        <v>2161.73</v>
      </c>
      <c r="J8" s="22">
        <v>9511.6</v>
      </c>
      <c r="K8" s="22">
        <v>9511.6</v>
      </c>
      <c r="L8" s="22"/>
      <c r="M8" s="22"/>
      <c r="N8" s="22">
        <f t="shared" si="1"/>
        <v>47037.89</v>
      </c>
      <c r="O8" s="10" t="s">
        <v>43</v>
      </c>
      <c r="P8" s="1">
        <f>5226*4+3396.9+5226*2+2953.83+16984.5+3527.55+13124.39+3527.55+16237.93+2643.03+16984.5+4412.07</f>
        <v>115148.25000000003</v>
      </c>
      <c r="Q8" s="1">
        <f>P8-85882.65</f>
        <v>29265.600000000035</v>
      </c>
      <c r="R8" s="1"/>
      <c r="S8" s="1"/>
      <c r="T8" s="1"/>
      <c r="U8" s="1"/>
      <c r="V8" s="1"/>
      <c r="W8" s="1"/>
      <c r="X8" s="1"/>
      <c r="Y8" s="1"/>
    </row>
    <row r="9" spans="1:25" s="15" customFormat="1" ht="24" customHeight="1">
      <c r="A9" s="10" t="s">
        <v>47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 t="shared" si="1"/>
        <v>0</v>
      </c>
      <c r="O9" s="10" t="s">
        <v>47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5" customFormat="1" ht="24" customHeight="1">
      <c r="A10" s="10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1"/>
        <v>0</v>
      </c>
      <c r="O10" s="10" t="s">
        <v>42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5" customFormat="1" ht="31.5" customHeight="1">
      <c r="A11" s="12" t="s">
        <v>5</v>
      </c>
      <c r="B11" s="13">
        <f aca="true" t="shared" si="2" ref="B11:I11">B12+B13</f>
        <v>0</v>
      </c>
      <c r="C11" s="13">
        <f t="shared" si="2"/>
        <v>1780.5</v>
      </c>
      <c r="D11" s="13">
        <f>D12</f>
        <v>829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>J12+J13</f>
        <v>0</v>
      </c>
      <c r="K11" s="13">
        <f>K12+K13</f>
        <v>0</v>
      </c>
      <c r="L11" s="13">
        <f>L12+L13</f>
        <v>0</v>
      </c>
      <c r="M11" s="13">
        <f>M12+M13</f>
        <v>0</v>
      </c>
      <c r="N11" s="16">
        <f t="shared" si="1"/>
        <v>2609.5</v>
      </c>
      <c r="O11" s="12" t="s">
        <v>5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3.5" customHeight="1">
      <c r="A12" s="10" t="s">
        <v>44</v>
      </c>
      <c r="B12" s="11"/>
      <c r="C12" s="11">
        <f>684.5+1096</f>
        <v>1780.5</v>
      </c>
      <c r="D12" s="11">
        <v>829</v>
      </c>
      <c r="E12" s="11"/>
      <c r="F12" s="11"/>
      <c r="G12" s="11"/>
      <c r="H12" s="11"/>
      <c r="I12" s="11"/>
      <c r="J12" s="11"/>
      <c r="K12" s="11"/>
      <c r="L12" s="11"/>
      <c r="M12" s="11"/>
      <c r="N12" s="16">
        <f aca="true" t="shared" si="3" ref="N12:N47">B12+C12+D12+E12+F12+G12+H12+I12+J12+K12+L12+M12</f>
        <v>2609.5</v>
      </c>
      <c r="O12" s="10" t="s">
        <v>44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>
        <f t="shared" si="3"/>
        <v>0</v>
      </c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5" customFormat="1" ht="18">
      <c r="A14" s="12">
        <v>213</v>
      </c>
      <c r="B14" s="13">
        <v>43751.65</v>
      </c>
      <c r="C14" s="13">
        <f>1500+21000+38000+165000+35281</f>
        <v>260781</v>
      </c>
      <c r="D14" s="22">
        <f>780+12100+23000+22000+121934.81</f>
        <v>179814.81</v>
      </c>
      <c r="E14" s="13">
        <f>1300+18000+31000+4000+1400+21000+35000+159599.29</f>
        <v>271299.29000000004</v>
      </c>
      <c r="F14" s="13">
        <f>1500+22000+40000+142125.39</f>
        <v>205625.39</v>
      </c>
      <c r="G14" s="13">
        <f>2200+32000+55000+338203.87</f>
        <v>427403.87</v>
      </c>
      <c r="H14" s="13">
        <f>100+400+7000+14000+13000+156905.59</f>
        <v>191405.59</v>
      </c>
      <c r="I14" s="13">
        <f>9003.81</f>
        <v>9003.81</v>
      </c>
      <c r="J14" s="13">
        <f>174870.67</f>
        <v>174870.67</v>
      </c>
      <c r="K14" s="13">
        <f>17000+27000+15800+27017.92</f>
        <v>86817.92</v>
      </c>
      <c r="L14" s="13"/>
      <c r="M14" s="13"/>
      <c r="N14" s="16">
        <f t="shared" si="3"/>
        <v>1850774</v>
      </c>
      <c r="O14" s="12">
        <v>213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5" customFormat="1" ht="18">
      <c r="A15" s="12">
        <v>221</v>
      </c>
      <c r="B15" s="13"/>
      <c r="C15" s="13">
        <f>3040.68+939.08+39.06</f>
        <v>4018.8199999999997</v>
      </c>
      <c r="D15" s="13">
        <f>3040.68+1056</f>
        <v>4096.68</v>
      </c>
      <c r="E15" s="13">
        <f>3040.68+1130.4</f>
        <v>4171.08</v>
      </c>
      <c r="F15" s="13">
        <f>3040.68+1070.4</f>
        <v>4111.08</v>
      </c>
      <c r="G15" s="13">
        <f>3040.68+1231.2+20.64</f>
        <v>4292.52</v>
      </c>
      <c r="H15" s="13">
        <f>3040.68+1094.4+5.16</f>
        <v>4140.24</v>
      </c>
      <c r="I15" s="13">
        <f>360+1025.38</f>
        <v>1385.38</v>
      </c>
      <c r="J15" s="13">
        <f>360+993.6+122.76</f>
        <v>1476.36</v>
      </c>
      <c r="K15" s="13">
        <f>3040.68+1178.4+71.7</f>
        <v>4290.78</v>
      </c>
      <c r="L15" s="13"/>
      <c r="M15" s="13"/>
      <c r="N15" s="16">
        <f t="shared" si="3"/>
        <v>31982.94</v>
      </c>
      <c r="O15" s="12">
        <v>221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5" customFormat="1" ht="27" customHeight="1">
      <c r="A16" s="14" t="s">
        <v>0</v>
      </c>
      <c r="B16" s="13">
        <f aca="true" t="shared" si="4" ref="B16:M16">B17+B18</f>
        <v>0</v>
      </c>
      <c r="C16" s="13">
        <f t="shared" si="4"/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6">
        <f t="shared" si="3"/>
        <v>0</v>
      </c>
      <c r="O16" s="14" t="s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customHeight="1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6">
        <f t="shared" si="3"/>
        <v>0</v>
      </c>
      <c r="O17" s="10" t="s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>
      <c r="A18" s="10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>
        <f t="shared" si="3"/>
        <v>0</v>
      </c>
      <c r="O18" s="10" t="s">
        <v>36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5" customFormat="1" ht="31.5" customHeight="1">
      <c r="A19" s="14" t="s">
        <v>1</v>
      </c>
      <c r="B19" s="13">
        <f>B20+B21+B22+B23+B24+B25+B26+B27+B28+B29+B31</f>
        <v>0</v>
      </c>
      <c r="C19" s="13">
        <f aca="true" t="shared" si="5" ref="C19:M19">C20+C21+C22+C23+C24+C25+C26+C27+C28+C29+C31</f>
        <v>5293.2</v>
      </c>
      <c r="D19" s="13">
        <f t="shared" si="5"/>
        <v>22463.2</v>
      </c>
      <c r="E19" s="13">
        <f t="shared" si="5"/>
        <v>9463.2</v>
      </c>
      <c r="F19" s="13">
        <f>F20+F21+F22+F23+F24+F25+F26+F27+F28+F29+F31</f>
        <v>5293.2</v>
      </c>
      <c r="G19" s="13">
        <f t="shared" si="5"/>
        <v>14293.2</v>
      </c>
      <c r="H19" s="13">
        <f>H20+H21+H22+H23+H24+H25+H26+H27+H28+H29+H31+H30</f>
        <v>32001.2</v>
      </c>
      <c r="I19" s="13">
        <f t="shared" si="5"/>
        <v>11793.2</v>
      </c>
      <c r="J19" s="13">
        <f t="shared" si="5"/>
        <v>5293.2</v>
      </c>
      <c r="K19" s="13">
        <f t="shared" si="5"/>
        <v>22753.2</v>
      </c>
      <c r="L19" s="13">
        <f t="shared" si="5"/>
        <v>0</v>
      </c>
      <c r="M19" s="13">
        <f t="shared" si="5"/>
        <v>0</v>
      </c>
      <c r="N19" s="13">
        <f>N20+N21+N22+N23+N24+N25+N26+N27+N28+N29+N30+N31</f>
        <v>128646.8</v>
      </c>
      <c r="O19" s="14" t="s"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6" customFormat="1" ht="25.5" customHeight="1">
      <c r="A20" s="10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6">
        <f t="shared" si="3"/>
        <v>0</v>
      </c>
      <c r="O20" s="10" t="s">
        <v>24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6" customFormat="1" ht="25.5" customHeight="1">
      <c r="A21" s="10" t="s">
        <v>55</v>
      </c>
      <c r="B21" s="11"/>
      <c r="C21" s="11"/>
      <c r="D21" s="11"/>
      <c r="E21" s="11">
        <v>1050</v>
      </c>
      <c r="F21" s="11"/>
      <c r="G21" s="11"/>
      <c r="H21" s="11"/>
      <c r="I21" s="11"/>
      <c r="J21" s="11"/>
      <c r="K21" s="11"/>
      <c r="L21" s="11"/>
      <c r="M21" s="11"/>
      <c r="N21" s="16">
        <f t="shared" si="3"/>
        <v>1050</v>
      </c>
      <c r="O21" s="10" t="s">
        <v>55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22.5" customHeight="1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6">
        <f t="shared" si="3"/>
        <v>0</v>
      </c>
      <c r="O22" s="10" t="s">
        <v>11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22.5" customHeight="1">
      <c r="A23" s="10" t="s">
        <v>45</v>
      </c>
      <c r="B23" s="11"/>
      <c r="C23" s="11"/>
      <c r="D23" s="11">
        <v>3300</v>
      </c>
      <c r="E23" s="11"/>
      <c r="F23" s="11"/>
      <c r="G23" s="11"/>
      <c r="H23" s="11"/>
      <c r="I23" s="11"/>
      <c r="J23" s="11"/>
      <c r="K23" s="11"/>
      <c r="L23" s="11"/>
      <c r="M23" s="11"/>
      <c r="N23" s="16">
        <f t="shared" si="3"/>
        <v>3300</v>
      </c>
      <c r="O23" s="10" t="s">
        <v>45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22.5" customHeight="1">
      <c r="A24" s="10" t="s">
        <v>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6">
        <f t="shared" si="3"/>
        <v>0</v>
      </c>
      <c r="O24" s="10" t="s">
        <v>46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6" customFormat="1" ht="28.5" customHeight="1">
      <c r="A25" s="10" t="s">
        <v>53</v>
      </c>
      <c r="B25" s="11"/>
      <c r="C25" s="11">
        <v>3793.2</v>
      </c>
      <c r="D25" s="11">
        <v>3793.2</v>
      </c>
      <c r="E25" s="11">
        <v>3793.2</v>
      </c>
      <c r="F25" s="11">
        <v>3793.2</v>
      </c>
      <c r="G25" s="11">
        <v>3793.2</v>
      </c>
      <c r="H25" s="11">
        <v>3793.2</v>
      </c>
      <c r="I25" s="11">
        <v>3793.2</v>
      </c>
      <c r="J25" s="11">
        <v>3793.2</v>
      </c>
      <c r="K25" s="11">
        <v>3793.2</v>
      </c>
      <c r="L25" s="11"/>
      <c r="M25" s="11"/>
      <c r="N25" s="16">
        <f t="shared" si="3"/>
        <v>34138.8</v>
      </c>
      <c r="O25" s="10" t="s">
        <v>53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6" customFormat="1" ht="30" customHeight="1">
      <c r="A26" s="10" t="s">
        <v>32</v>
      </c>
      <c r="B26" s="11"/>
      <c r="C26" s="11"/>
      <c r="D26" s="11">
        <v>5440</v>
      </c>
      <c r="E26" s="11"/>
      <c r="F26" s="11"/>
      <c r="G26" s="11"/>
      <c r="H26" s="11"/>
      <c r="I26" s="11"/>
      <c r="J26" s="11"/>
      <c r="K26" s="11"/>
      <c r="L26" s="11"/>
      <c r="M26" s="11"/>
      <c r="N26" s="16">
        <f t="shared" si="3"/>
        <v>5440</v>
      </c>
      <c r="O26" s="10" t="s">
        <v>32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6" customFormat="1" ht="30" customHeight="1">
      <c r="A27" s="10" t="s">
        <v>38</v>
      </c>
      <c r="B27" s="11"/>
      <c r="C27" s="11"/>
      <c r="D27" s="11"/>
      <c r="E27" s="11">
        <v>4620</v>
      </c>
      <c r="F27" s="11"/>
      <c r="G27" s="11"/>
      <c r="H27" s="11">
        <v>20208</v>
      </c>
      <c r="I27" s="11"/>
      <c r="J27" s="11"/>
      <c r="K27" s="11"/>
      <c r="L27" s="11"/>
      <c r="M27" s="11"/>
      <c r="N27" s="16">
        <f t="shared" si="3"/>
        <v>24828</v>
      </c>
      <c r="O27" s="10" t="s">
        <v>38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6" customFormat="1" ht="19.5" customHeight="1">
      <c r="A28" s="10" t="s">
        <v>35</v>
      </c>
      <c r="B28" s="11"/>
      <c r="C28" s="11"/>
      <c r="D28" s="11"/>
      <c r="E28" s="11"/>
      <c r="F28" s="11"/>
      <c r="G28" s="11">
        <v>7500</v>
      </c>
      <c r="H28" s="11"/>
      <c r="I28" s="11">
        <v>6500</v>
      </c>
      <c r="J28" s="11"/>
      <c r="K28" s="11">
        <v>15960</v>
      </c>
      <c r="L28" s="11"/>
      <c r="M28" s="11"/>
      <c r="N28" s="16">
        <f t="shared" si="3"/>
        <v>29960</v>
      </c>
      <c r="O28" s="10" t="s">
        <v>35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6" customFormat="1" ht="19.5" customHeight="1">
      <c r="A29" s="10" t="s">
        <v>52</v>
      </c>
      <c r="B29" s="11"/>
      <c r="C29" s="11">
        <v>1500</v>
      </c>
      <c r="D29" s="11">
        <f>1500*2</f>
        <v>3000</v>
      </c>
      <c r="E29" s="11"/>
      <c r="F29" s="11">
        <v>1500</v>
      </c>
      <c r="G29" s="11">
        <f>1500*2</f>
        <v>3000</v>
      </c>
      <c r="H29" s="11"/>
      <c r="I29" s="11">
        <v>1500</v>
      </c>
      <c r="J29" s="11">
        <v>1500</v>
      </c>
      <c r="K29" s="11">
        <f>1500*2</f>
        <v>3000</v>
      </c>
      <c r="L29" s="11"/>
      <c r="M29" s="11"/>
      <c r="N29" s="16">
        <f t="shared" si="3"/>
        <v>15000</v>
      </c>
      <c r="O29" s="10" t="s">
        <v>52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6" customFormat="1" ht="19.5" customHeight="1">
      <c r="A30" s="10" t="s">
        <v>59</v>
      </c>
      <c r="B30" s="11"/>
      <c r="C30" s="11"/>
      <c r="D30" s="11"/>
      <c r="E30" s="11"/>
      <c r="F30" s="11"/>
      <c r="G30" s="11"/>
      <c r="H30" s="11">
        <v>8000</v>
      </c>
      <c r="I30" s="11"/>
      <c r="J30" s="11"/>
      <c r="K30" s="11"/>
      <c r="L30" s="11"/>
      <c r="M30" s="11"/>
      <c r="N30" s="16">
        <f t="shared" si="3"/>
        <v>8000</v>
      </c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6" customFormat="1" ht="30" customHeight="1">
      <c r="A31" s="10" t="s">
        <v>19</v>
      </c>
      <c r="B31" s="11"/>
      <c r="C31" s="11"/>
      <c r="D31" s="11">
        <v>6930</v>
      </c>
      <c r="E31" s="11"/>
      <c r="F31" s="11"/>
      <c r="G31" s="11"/>
      <c r="H31" s="11"/>
      <c r="I31" s="11"/>
      <c r="J31" s="11"/>
      <c r="K31" s="11"/>
      <c r="L31" s="11"/>
      <c r="M31" s="11"/>
      <c r="N31" s="16">
        <f t="shared" si="3"/>
        <v>6930</v>
      </c>
      <c r="O31" s="10" t="s">
        <v>19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5" customFormat="1" ht="30" customHeight="1">
      <c r="A32" s="12" t="s">
        <v>4</v>
      </c>
      <c r="B32" s="13">
        <f aca="true" t="shared" si="6" ref="B32:K32">B33+B39</f>
        <v>0</v>
      </c>
      <c r="C32" s="13">
        <f>C33+C37+C39</f>
        <v>0</v>
      </c>
      <c r="D32" s="13">
        <f>D33+D39+D37</f>
        <v>0</v>
      </c>
      <c r="E32" s="13">
        <f t="shared" si="6"/>
        <v>0</v>
      </c>
      <c r="F32" s="13">
        <f>F33+F39+F35</f>
        <v>3360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460538</v>
      </c>
      <c r="K32" s="13">
        <f t="shared" si="6"/>
        <v>29061</v>
      </c>
      <c r="L32" s="13">
        <f>L33+L39+L37+L34</f>
        <v>0</v>
      </c>
      <c r="M32" s="13">
        <f>M33+M34+M35+M36+M37+M38</f>
        <v>0</v>
      </c>
      <c r="N32" s="16">
        <f t="shared" si="3"/>
        <v>492959</v>
      </c>
      <c r="O32" s="12" t="s">
        <v>4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6" customFormat="1" ht="37.5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>
        <f t="shared" si="3"/>
        <v>0</v>
      </c>
      <c r="O33" s="10" t="s">
        <v>48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6" customFormat="1" ht="27" customHeight="1">
      <c r="A34" s="10" t="s">
        <v>49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">
        <f t="shared" si="3"/>
        <v>0</v>
      </c>
      <c r="O34" s="10" t="s">
        <v>49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6" customFormat="1" ht="27" customHeight="1">
      <c r="A35" s="10" t="s">
        <v>58</v>
      </c>
      <c r="B35" s="11"/>
      <c r="C35" s="11"/>
      <c r="D35" s="11"/>
      <c r="E35" s="11"/>
      <c r="F35" s="11">
        <v>3360</v>
      </c>
      <c r="G35" s="11"/>
      <c r="H35" s="11"/>
      <c r="I35" s="11"/>
      <c r="J35" s="11"/>
      <c r="K35" s="11"/>
      <c r="L35" s="11"/>
      <c r="M35" s="11"/>
      <c r="N35" s="16">
        <f t="shared" si="3"/>
        <v>3360</v>
      </c>
      <c r="O35" s="10" t="s">
        <v>57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6" customFormat="1" ht="27" customHeight="1">
      <c r="A36" s="10" t="s">
        <v>50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>
        <f t="shared" si="3"/>
        <v>0</v>
      </c>
      <c r="O36" s="10" t="s">
        <v>50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2.5" customHeight="1">
      <c r="A37" s="10" t="s">
        <v>54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>
        <f t="shared" si="3"/>
        <v>0</v>
      </c>
      <c r="O37" s="10" t="s">
        <v>54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2.5" customHeight="1">
      <c r="A38" s="10" t="s">
        <v>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6">
        <f t="shared" si="3"/>
        <v>0</v>
      </c>
      <c r="O38" s="10" t="s">
        <v>56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25.5" customHeight="1">
      <c r="A39" s="10" t="s">
        <v>6</v>
      </c>
      <c r="B39" s="11"/>
      <c r="C39" s="11"/>
      <c r="D39" s="11"/>
      <c r="E39" s="11"/>
      <c r="F39" s="11"/>
      <c r="G39" s="11"/>
      <c r="H39" s="11"/>
      <c r="I39" s="11"/>
      <c r="J39" s="11">
        <v>460538</v>
      </c>
      <c r="K39" s="11">
        <v>29061</v>
      </c>
      <c r="L39" s="11"/>
      <c r="M39" s="11"/>
      <c r="N39" s="16">
        <f t="shared" si="3"/>
        <v>489599</v>
      </c>
      <c r="O39" s="10" t="s">
        <v>6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5" customFormat="1" ht="25.5" customHeight="1">
      <c r="A40" s="14" t="s">
        <v>2</v>
      </c>
      <c r="B40" s="13">
        <f aca="true" t="shared" si="7" ref="B40:G40">B41+B45</f>
        <v>0</v>
      </c>
      <c r="C40" s="13">
        <f t="shared" si="7"/>
        <v>0</v>
      </c>
      <c r="D40" s="13">
        <f>D41+D45+D43</f>
        <v>0</v>
      </c>
      <c r="E40" s="13">
        <f>E41+E45+E43</f>
        <v>0</v>
      </c>
      <c r="F40" s="13">
        <f t="shared" si="7"/>
        <v>0</v>
      </c>
      <c r="G40" s="13">
        <f t="shared" si="7"/>
        <v>0</v>
      </c>
      <c r="H40" s="13">
        <f>H41+H45+H42</f>
        <v>0</v>
      </c>
      <c r="I40" s="13">
        <f>I41+I45+I42+I43+I44</f>
        <v>64380.66</v>
      </c>
      <c r="J40" s="13">
        <f>J41+J45+J42+J43</f>
        <v>0</v>
      </c>
      <c r="K40" s="13">
        <f>K41+K45+K42</f>
        <v>0</v>
      </c>
      <c r="L40" s="13">
        <f>L41+L45+L42</f>
        <v>0</v>
      </c>
      <c r="M40" s="13">
        <f>M41+M42+M43+M44+M45</f>
        <v>0</v>
      </c>
      <c r="N40" s="16">
        <f t="shared" si="3"/>
        <v>64380.66</v>
      </c>
      <c r="O40" s="14" t="s">
        <v>2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8.5" customHeight="1">
      <c r="A41" s="10" t="s">
        <v>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6">
        <f t="shared" si="3"/>
        <v>0</v>
      </c>
      <c r="O41" s="10" t="s">
        <v>7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8.5" customHeight="1">
      <c r="A42" s="10" t="s">
        <v>37</v>
      </c>
      <c r="B42" s="11"/>
      <c r="C42" s="11"/>
      <c r="D42" s="11"/>
      <c r="E42" s="11"/>
      <c r="F42" s="11"/>
      <c r="G42" s="11"/>
      <c r="H42" s="11"/>
      <c r="I42" s="11">
        <v>64380.66</v>
      </c>
      <c r="J42" s="11"/>
      <c r="K42" s="11"/>
      <c r="L42" s="11"/>
      <c r="M42" s="11"/>
      <c r="N42" s="16">
        <f t="shared" si="3"/>
        <v>64380.66</v>
      </c>
      <c r="O42" s="10" t="s">
        <v>37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8.5" customHeight="1">
      <c r="A43" s="10" t="s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6">
        <f t="shared" si="3"/>
        <v>0</v>
      </c>
      <c r="O43" s="10" t="s">
        <v>39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>
      <c r="A44" s="10" t="s">
        <v>51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6">
        <f t="shared" si="3"/>
        <v>0</v>
      </c>
      <c r="O44" s="10" t="s">
        <v>51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5.5" customHeight="1">
      <c r="A45" s="10" t="s">
        <v>25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">
        <f t="shared" si="3"/>
        <v>0</v>
      </c>
      <c r="O45" s="10" t="s">
        <v>25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5" customFormat="1" ht="34.5" customHeight="1">
      <c r="A46" s="14" t="s">
        <v>3</v>
      </c>
      <c r="B46" s="13">
        <f>B5+B11+B14+B15+B16+B19+B32+B40</f>
        <v>395000</v>
      </c>
      <c r="C46" s="13">
        <f aca="true" t="shared" si="8" ref="C46:M46">C5+C11+C14+C15+C16+C19+C32+C40</f>
        <v>899999.9999999999</v>
      </c>
      <c r="D46" s="13">
        <f t="shared" si="8"/>
        <v>890000.0000000001</v>
      </c>
      <c r="E46" s="13">
        <f t="shared" si="8"/>
        <v>900000</v>
      </c>
      <c r="F46" s="13">
        <f t="shared" si="8"/>
        <v>865000</v>
      </c>
      <c r="G46" s="13">
        <f t="shared" si="8"/>
        <v>1925000.0000000002</v>
      </c>
      <c r="H46" s="13">
        <f t="shared" si="8"/>
        <v>509999.99999999994</v>
      </c>
      <c r="I46" s="13">
        <f t="shared" si="8"/>
        <v>246500.00000000003</v>
      </c>
      <c r="J46" s="13">
        <f t="shared" si="8"/>
        <v>1103500</v>
      </c>
      <c r="K46" s="13">
        <f>K5+K11+K14+K15+K16+K19+K32+K40</f>
        <v>636500</v>
      </c>
      <c r="L46" s="13">
        <f t="shared" si="8"/>
        <v>0</v>
      </c>
      <c r="M46" s="13">
        <f t="shared" si="8"/>
        <v>0</v>
      </c>
      <c r="N46" s="16">
        <f t="shared" si="3"/>
        <v>8371500</v>
      </c>
      <c r="O46" s="14" t="s">
        <v>3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5" customFormat="1" ht="45" customHeight="1">
      <c r="A47" s="20" t="s">
        <v>33</v>
      </c>
      <c r="B47" s="13">
        <v>795000</v>
      </c>
      <c r="C47" s="13">
        <v>820000</v>
      </c>
      <c r="D47" s="13">
        <v>820000</v>
      </c>
      <c r="E47" s="13">
        <v>850000</v>
      </c>
      <c r="F47" s="19">
        <v>1000000</v>
      </c>
      <c r="G47" s="13">
        <v>2100000</v>
      </c>
      <c r="H47" s="13">
        <v>900000</v>
      </c>
      <c r="I47" s="13">
        <v>100000</v>
      </c>
      <c r="J47" s="13">
        <v>850000</v>
      </c>
      <c r="K47" s="13">
        <f>850000</f>
        <v>850000</v>
      </c>
      <c r="L47" s="13"/>
      <c r="M47" s="13"/>
      <c r="N47" s="16">
        <f t="shared" si="3"/>
        <v>9085000</v>
      </c>
      <c r="O47" s="20" t="s">
        <v>33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5" customFormat="1" ht="39" customHeight="1">
      <c r="A48" s="20" t="s">
        <v>34</v>
      </c>
      <c r="B48" s="13">
        <f>B47-B46</f>
        <v>400000</v>
      </c>
      <c r="C48" s="13">
        <f aca="true" t="shared" si="9" ref="C48:M48">B48+C47-C46</f>
        <v>320000.0000000001</v>
      </c>
      <c r="D48" s="13">
        <f t="shared" si="9"/>
        <v>249999.99999999988</v>
      </c>
      <c r="E48" s="13">
        <f t="shared" si="9"/>
        <v>200000</v>
      </c>
      <c r="F48" s="13">
        <f t="shared" si="9"/>
        <v>335000</v>
      </c>
      <c r="G48" s="13">
        <f t="shared" si="9"/>
        <v>509999.99999999977</v>
      </c>
      <c r="H48" s="13">
        <f t="shared" si="9"/>
        <v>899999.9999999998</v>
      </c>
      <c r="I48" s="13">
        <f>H48+I47-I46</f>
        <v>753499.9999999998</v>
      </c>
      <c r="J48" s="13">
        <f t="shared" si="9"/>
        <v>499999.99999999977</v>
      </c>
      <c r="K48" s="13">
        <f>J48+K47-K46</f>
        <v>713499.9999999998</v>
      </c>
      <c r="L48" s="13">
        <f t="shared" si="9"/>
        <v>713499.9999999998</v>
      </c>
      <c r="M48" s="13">
        <f t="shared" si="9"/>
        <v>713499.9999999998</v>
      </c>
      <c r="N48" s="16">
        <f>N47-N46</f>
        <v>713500</v>
      </c>
      <c r="O48" s="20" t="s">
        <v>34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" ht="18">
      <c r="A49" s="7" t="s">
        <v>14</v>
      </c>
      <c r="B49" s="3" t="s">
        <v>15</v>
      </c>
    </row>
    <row r="50" ht="18">
      <c r="D50" s="18"/>
    </row>
    <row r="51" spans="1:2" ht="18">
      <c r="A51" s="7" t="s">
        <v>16</v>
      </c>
      <c r="B51" s="3" t="s">
        <v>17</v>
      </c>
    </row>
    <row r="53" ht="18">
      <c r="N53" s="3">
        <f>380000-N48</f>
        <v>-333500</v>
      </c>
    </row>
    <row r="54" ht="18">
      <c r="F54" s="3">
        <f>700000-F48</f>
        <v>365000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2018-12-03T07:16:47Z</cp:lastPrinted>
  <dcterms:created xsi:type="dcterms:W3CDTF">1996-10-08T23:32:33Z</dcterms:created>
  <dcterms:modified xsi:type="dcterms:W3CDTF">2019-10-31T13:05:27Z</dcterms:modified>
  <cp:category/>
  <cp:version/>
  <cp:contentType/>
  <cp:contentStatus/>
</cp:coreProperties>
</file>