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'!$A$1:$N$51</definedName>
  </definedNames>
  <calcPr fullCalcOnLoad="1"/>
</workbook>
</file>

<file path=xl/sharedStrings.xml><?xml version="1.0" encoding="utf-8"?>
<sst xmlns="http://schemas.openxmlformats.org/spreadsheetml/2006/main" count="101" uniqueCount="61">
  <si>
    <t>225 в.т.ч.</t>
  </si>
  <si>
    <t>226 в т.ч.</t>
  </si>
  <si>
    <t>340 в т.ч.</t>
  </si>
  <si>
    <t>ВСЕГО</t>
  </si>
  <si>
    <t xml:space="preserve">310 в т.ч. </t>
  </si>
  <si>
    <t>212 в т.ч.</t>
  </si>
  <si>
    <t>учебники</t>
  </si>
  <si>
    <t>канцел.товары</t>
  </si>
  <si>
    <t>211 в т.ч.</t>
  </si>
  <si>
    <t>итого</t>
  </si>
  <si>
    <t>зправка картриджей</t>
  </si>
  <si>
    <t>услуги парус</t>
  </si>
  <si>
    <t>МБОУ Ясиновская СОШ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</si>
  <si>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</si>
  <si>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</si>
  <si>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</si>
  <si>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</si>
  <si>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</si>
  <si>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</si>
  <si>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сдача отчетности пенс.и налог.с ЭЦП Контур</t>
  </si>
  <si>
    <t>март</t>
  </si>
  <si>
    <t>апрель</t>
  </si>
  <si>
    <t>май</t>
  </si>
  <si>
    <t>июнь</t>
  </si>
  <si>
    <t>лицензионное программное обеспечение(Парус)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</si>
  <si>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</si>
  <si>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</si>
  <si>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</si>
  <si>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</si>
  <si>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</si>
  <si>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</si>
  <si>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лицензионное программное обеспечение </t>
  </si>
  <si>
    <t>ФИНАНСИРОВАНИЕ</t>
  </si>
  <si>
    <t>Остаток на счете</t>
  </si>
  <si>
    <t>обучение педработников (курсы повыш.квалификации)</t>
  </si>
  <si>
    <t>ремонт огр.техники</t>
  </si>
  <si>
    <t>раб.тетради</t>
  </si>
  <si>
    <t>м/осмотр педработников</t>
  </si>
  <si>
    <t>з/плата гарантированная</t>
  </si>
  <si>
    <t>надбавки педработникам</t>
  </si>
  <si>
    <t>премии</t>
  </si>
  <si>
    <t>повышающий коэффициент</t>
  </si>
  <si>
    <t>командировочные расходы (суточные,проезд.проживание)</t>
  </si>
  <si>
    <t>АИС-Контингент</t>
  </si>
  <si>
    <t>АРМ по ЕГЭ</t>
  </si>
  <si>
    <t>надбавки за качество и результативность</t>
  </si>
  <si>
    <t>мебель</t>
  </si>
  <si>
    <t>учебные пособия</t>
  </si>
  <si>
    <t>оргтехника</t>
  </si>
  <si>
    <t>обслуживание сайта школы</t>
  </si>
  <si>
    <t>эл.школа</t>
  </si>
  <si>
    <t>диктофон на егэ</t>
  </si>
  <si>
    <t>ЭЦП на ФРДО</t>
  </si>
  <si>
    <t>компьютеры</t>
  </si>
  <si>
    <t>адапторы на интернет</t>
  </si>
  <si>
    <t>обучение гл.бух-ра по новым стандартам</t>
  </si>
  <si>
    <t>спортивный инвентарь</t>
  </si>
  <si>
    <t>модем на эл.школу</t>
  </si>
  <si>
    <t>хозтовары</t>
  </si>
  <si>
    <t>Информация о расходовании средств областного бюджета (субвенции) за январь-декабрь 2020 год</t>
  </si>
  <si>
    <t>Парус онлайн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</si>
</sst>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4" fontId="5" fillId="4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184" fontId="5" fillId="4" borderId="0" xfId="0" applyNumberFormat="1" applyFont="1" applyFill="1" applyBorder="1" applyAlignment="1">
      <alignment/>
    </xf>
    <xf numFmtId="183" fontId="7" fillId="4" borderId="11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 wrapText="1"/>
    </xf>
    <xf numFmtId="184" fontId="5" fillId="0" borderId="11" xfId="0" applyNumberFormat="1" applyFont="1" applyFill="1" applyBorder="1" applyAlignment="1">
      <alignment wrapText="1"/>
    </xf>
    <xf numFmtId="180" fontId="5" fillId="0" borderId="12" xfId="0" applyNumberFormat="1" applyFont="1" applyFill="1" applyBorder="1" applyAlignment="1">
      <alignment horizontal="center" wrapText="1"/>
    </xf>
    <xf numFmtId="184" fontId="5" fillId="0" borderId="13" xfId="0" applyNumberFormat="1" applyFont="1" applyFill="1" applyBorder="1" applyAlignment="1">
      <alignment wrapText="1"/>
    </xf>
    <xf numFmtId="180" fontId="5" fillId="0" borderId="14" xfId="0" applyNumberFormat="1" applyFont="1" applyFill="1" applyBorder="1" applyAlignment="1">
      <alignment horizontal="center" wrapText="1"/>
    </xf>
    <xf numFmtId="183" fontId="6" fillId="0" borderId="11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="75" zoomScaleNormal="50" zoomScaleSheetLayoutView="75" zoomScalePageLayoutView="0" workbookViewId="0" topLeftCell="I31">
      <selection activeCell="K43" sqref="K43"/>
    </sheetView>
  </sheetViews>
  <sheetFormatPr defaultColWidth="9.140625" defaultRowHeight="12.75"/>
  <cols>
    <col min="1" max="1" width="78.421875" style="7" customWidth="1"/>
    <col min="2" max="2" width="18.00390625" style="3" customWidth="1"/>
    <col min="3" max="3" width="23.28125" style="3" customWidth="1"/>
    <col min="4" max="4" width="19.8515625" style="3" customWidth="1"/>
    <col min="5" max="5" width="20.7109375" style="3" customWidth="1"/>
    <col min="6" max="6" width="20.421875" style="3" customWidth="1"/>
    <col min="7" max="7" width="19.57421875" style="3" customWidth="1"/>
    <col min="8" max="8" width="20.421875" style="3" customWidth="1"/>
    <col min="9" max="9" width="18.57421875" style="3" customWidth="1"/>
    <col min="10" max="10" width="18.00390625" style="3" customWidth="1"/>
    <col min="11" max="11" width="20.140625" style="3" customWidth="1"/>
    <col min="12" max="12" width="20.421875" style="3" customWidth="1"/>
    <col min="13" max="13" width="21.140625" style="3" customWidth="1"/>
    <col min="14" max="14" width="22.7109375" style="3" customWidth="1"/>
    <col min="15" max="15" width="68.7109375" style="2" customWidth="1"/>
    <col min="16" max="16" width="15.421875" style="2" customWidth="1"/>
    <col min="17" max="17" width="10.140625" style="2" customWidth="1"/>
    <col min="18" max="16384" width="9.140625" style="2" customWidth="1"/>
  </cols>
  <sheetData>
    <row r="1" spans="1:14" ht="54.75" customHeight="1">
      <c r="A1" s="29" t="s">
        <v>59</v>
      </c>
      <c r="B1" s="29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.75" customHeight="1">
      <c r="A2" s="27" t="s">
        <v>12</v>
      </c>
      <c r="B2" s="2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.75" customHeight="1">
      <c r="A3" s="2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5" s="4" customFormat="1" ht="31.5" customHeight="1">
      <c r="A4" s="9"/>
      <c r="B4" s="23" t="s">
        <v>13</v>
      </c>
      <c r="C4" s="23" t="s">
        <v>18</v>
      </c>
      <c r="D4" s="23" t="s">
        <v>20</v>
      </c>
      <c r="E4" s="23" t="s">
        <v>21</v>
      </c>
      <c r="F4" s="23" t="s">
        <v>22</v>
      </c>
      <c r="G4" s="23" t="s">
        <v>23</v>
      </c>
      <c r="H4" s="23" t="s">
        <v>25</v>
      </c>
      <c r="I4" s="23" t="s">
        <v>26</v>
      </c>
      <c r="J4" s="23" t="s">
        <v>27</v>
      </c>
      <c r="K4" s="23" t="s">
        <v>28</v>
      </c>
      <c r="L4" s="23" t="s">
        <v>29</v>
      </c>
      <c r="M4" s="23" t="s">
        <v>30</v>
      </c>
      <c r="N4" s="25" t="s">
        <v>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5" customFormat="1" ht="24" customHeight="1">
      <c r="A5" s="12" t="s">
        <v>8</v>
      </c>
      <c r="B5" s="16">
        <f>B6+B7+B8+B10</f>
        <v>262915.21</v>
      </c>
      <c r="C5" s="16">
        <f aca="true" t="shared" si="0" ref="C5:M5">C6+C7+C8+C10</f>
        <v>656251.54</v>
      </c>
      <c r="D5" s="16">
        <f>D6+D7+D8+D10</f>
        <v>628498.43</v>
      </c>
      <c r="E5" s="16">
        <f>E6+E7+E8+E10</f>
        <v>625965.8099999999</v>
      </c>
      <c r="F5" s="16">
        <f t="shared" si="0"/>
        <v>1344469.67</v>
      </c>
      <c r="G5" s="16">
        <f t="shared" si="0"/>
        <v>414925.83999999997</v>
      </c>
      <c r="H5" s="16">
        <f t="shared" si="0"/>
        <v>1060232.42</v>
      </c>
      <c r="I5" s="16">
        <f t="shared" si="0"/>
        <v>42711.15</v>
      </c>
      <c r="J5" s="16">
        <f t="shared" si="0"/>
        <v>443358.72</v>
      </c>
      <c r="K5" s="16">
        <f>K6+K7+K8+K10</f>
        <v>593753.6499999999</v>
      </c>
      <c r="L5" s="16">
        <f>L6+L7+L8+L10</f>
        <v>543455.1799999999</v>
      </c>
      <c r="M5" s="16">
        <f t="shared" si="0"/>
        <v>1153360.5300000003</v>
      </c>
      <c r="N5" s="16">
        <f aca="true" t="shared" si="1" ref="N5:N11">B5+C5+D5+E5+F5+G5+H5+I5+J5+K5+L5+M5</f>
        <v>7769898.149999999</v>
      </c>
      <c r="O5" s="14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15" customFormat="1" ht="24" customHeight="1">
      <c r="A6" s="10" t="s">
        <v>38</v>
      </c>
      <c r="B6" s="22">
        <f>40624.18+222291.03</f>
        <v>262915.21</v>
      </c>
      <c r="C6" s="22">
        <f>101989.2+239345.67+234416.44+77609+2891.23</f>
        <v>656251.54</v>
      </c>
      <c r="D6" s="22">
        <f>91094.77+227641.6+218037.19+3607.8+85000+3117.07-D8</f>
        <v>605821.63</v>
      </c>
      <c r="E6" s="22">
        <f>93455.44+233910.44+140495.31+70000+85000+100+3004.62-E8</f>
        <v>614627.4099999999</v>
      </c>
      <c r="F6" s="22">
        <f>101264.43+80000+150000+244271.44+493292.39+188742.54-F8+2784.68+37521.98+46592.21</f>
        <v>1333131.27</v>
      </c>
      <c r="G6" s="22">
        <f>(185033.54-9000+196312.02-33980.37-4528.28-1885.46-24305.62)-G8+100000+6357.46+922.55</f>
        <v>403587.43999999994</v>
      </c>
      <c r="H6" s="22">
        <f>(68304.01+3904.96+246530.75+31950.6+645182.52+60000+4359.58)-H8</f>
        <v>1048894.02</v>
      </c>
      <c r="I6" s="22">
        <f>5000+30000+7711.15-I8</f>
        <v>31372.75</v>
      </c>
      <c r="J6" s="22">
        <f>(40000+66136.94+1530.86+1500+64551.17+269639.75)-J8</f>
        <v>432020.31999999995</v>
      </c>
      <c r="K6" s="22">
        <f>(12874+50000+592.48+95128.59+183359.78+251798.8)-K8</f>
        <v>582415.2499999999</v>
      </c>
      <c r="L6" s="22">
        <f>256009.69+35703+3689.48+248053.01-L8</f>
        <v>531775.98</v>
      </c>
      <c r="M6" s="22">
        <f>261445.69+300853.36+405582.26+76905+2930.97+3583.25+37965+64095-M8-M10</f>
        <v>949168.1300000001</v>
      </c>
      <c r="N6" s="22">
        <f t="shared" si="1"/>
        <v>7451980.95</v>
      </c>
      <c r="O6" s="26" t="s">
        <v>38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15" customFormat="1" ht="24" customHeight="1">
      <c r="A7" s="10" t="s">
        <v>39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>
        <f t="shared" si="1"/>
        <v>0</v>
      </c>
      <c r="O7" s="26" t="s">
        <v>39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15" customFormat="1" ht="24" customHeight="1">
      <c r="A8" s="10" t="s">
        <v>41</v>
      </c>
      <c r="B8" s="22"/>
      <c r="C8" s="22"/>
      <c r="D8" s="22">
        <f>11338.4*2</f>
        <v>22676.8</v>
      </c>
      <c r="E8" s="22">
        <f>11338.4</f>
        <v>11338.4</v>
      </c>
      <c r="F8" s="22">
        <v>11338.4</v>
      </c>
      <c r="G8" s="22">
        <f>11338.4</f>
        <v>11338.4</v>
      </c>
      <c r="H8" s="22">
        <v>11338.4</v>
      </c>
      <c r="I8" s="22">
        <f>11338.4</f>
        <v>11338.4</v>
      </c>
      <c r="J8" s="22">
        <f>11338.4</f>
        <v>11338.4</v>
      </c>
      <c r="K8" s="22">
        <f>11338.4</f>
        <v>11338.4</v>
      </c>
      <c r="L8" s="22">
        <v>11679.2</v>
      </c>
      <c r="M8" s="22">
        <f>11679.2*2</f>
        <v>23358.4</v>
      </c>
      <c r="N8" s="22">
        <f t="shared" si="1"/>
        <v>137083.19999999998</v>
      </c>
      <c r="O8" s="26" t="s">
        <v>41</v>
      </c>
      <c r="P8" s="1">
        <f>5226*4+3396.9+5226*2+2953.83+16984.5+3527.55+13124.39+3527.55+16237.93+2643.03+16984.5+4412.07</f>
        <v>115148.25000000003</v>
      </c>
      <c r="Q8" s="1">
        <f>P8-85882.65</f>
        <v>29265.600000000035</v>
      </c>
      <c r="R8" s="1"/>
      <c r="S8" s="1"/>
      <c r="T8" s="1"/>
      <c r="U8" s="1"/>
      <c r="V8" s="1"/>
      <c r="W8" s="1"/>
      <c r="X8" s="1"/>
      <c r="Y8" s="1"/>
    </row>
    <row r="9" spans="1:25" s="15" customFormat="1" ht="24" customHeight="1">
      <c r="A9" s="10" t="s">
        <v>45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f t="shared" si="1"/>
        <v>0</v>
      </c>
      <c r="O9" s="26" t="s">
        <v>45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5" customFormat="1" ht="24" customHeight="1">
      <c r="A10" s="10" t="s">
        <v>40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f>204192.4-M8</f>
        <v>180834</v>
      </c>
      <c r="N10" s="22">
        <f t="shared" si="1"/>
        <v>180834</v>
      </c>
      <c r="O10" s="26" t="s">
        <v>40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15" customFormat="1" ht="31.5" customHeight="1">
      <c r="A11" s="12" t="s">
        <v>5</v>
      </c>
      <c r="B11" s="13">
        <f aca="true" t="shared" si="2" ref="B11:I11">B12+B13</f>
        <v>0</v>
      </c>
      <c r="C11" s="13">
        <f t="shared" si="2"/>
        <v>876.52</v>
      </c>
      <c r="D11" s="13">
        <f>D12</f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>J12+J13</f>
        <v>0</v>
      </c>
      <c r="K11" s="13">
        <f>K12+K13</f>
        <v>0</v>
      </c>
      <c r="L11" s="13">
        <f>L12+L13</f>
        <v>0</v>
      </c>
      <c r="M11" s="13">
        <f>M12+M13</f>
        <v>0</v>
      </c>
      <c r="N11" s="16">
        <f t="shared" si="1"/>
        <v>876.52</v>
      </c>
      <c r="O11" s="14" t="s">
        <v>5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3.5" customHeight="1">
      <c r="A12" s="10" t="s">
        <v>42</v>
      </c>
      <c r="B12" s="11"/>
      <c r="C12" s="11">
        <v>876.52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6">
        <f aca="true" t="shared" si="3" ref="N12:N47">B12+C12+D12+E12+F12+G12+H12+I12+J12+K12+L12+M12</f>
        <v>876.52</v>
      </c>
      <c r="O12" s="26" t="s">
        <v>42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6">
        <f t="shared" si="3"/>
        <v>0</v>
      </c>
      <c r="O13" s="26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5" customFormat="1" ht="18">
      <c r="A14" s="12">
        <v>213</v>
      </c>
      <c r="B14" s="13"/>
      <c r="C14" s="13">
        <f>1240+18300+32100+138500</f>
        <v>190140</v>
      </c>
      <c r="D14" s="22">
        <f>1400+19000+33000+142000</f>
        <v>195400</v>
      </c>
      <c r="E14" s="13">
        <f>1200+18100+32000+139000+1.72</f>
        <v>190301.72</v>
      </c>
      <c r="F14" s="13">
        <f>1300+18500+32700+6000+133000</f>
        <v>191500</v>
      </c>
      <c r="G14" s="13">
        <f>2600+38000+66000+283000+121.66+3300+10000+85000</f>
        <v>488021.66</v>
      </c>
      <c r="H14" s="13">
        <f>1000+1300+31000+52000+182240.38</f>
        <v>267540.38</v>
      </c>
      <c r="I14" s="13">
        <f>6595.65</f>
        <v>6595.65</v>
      </c>
      <c r="J14" s="13">
        <f>5300+8000+10500+20000+98173.52</f>
        <v>141973.52000000002</v>
      </c>
      <c r="K14" s="13">
        <f>500+5000+7000+60000</f>
        <v>72500</v>
      </c>
      <c r="L14" s="13">
        <f>1400+21000+35000+150000</f>
        <v>207400</v>
      </c>
      <c r="M14" s="13">
        <f>1200+17000+31000+141000+1400.93+20200+35520+125731.47</f>
        <v>373052.4</v>
      </c>
      <c r="N14" s="16">
        <f t="shared" si="3"/>
        <v>2324425.3299999996</v>
      </c>
      <c r="O14" s="14">
        <v>213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5" customFormat="1" ht="18">
      <c r="A15" s="12">
        <v>221</v>
      </c>
      <c r="B15" s="13">
        <v>470.4</v>
      </c>
      <c r="C15" s="13">
        <f>5467.2</f>
        <v>5467.2</v>
      </c>
      <c r="D15" s="13">
        <f>5337.6</f>
        <v>5337.6</v>
      </c>
      <c r="E15" s="13">
        <v>5349.6</v>
      </c>
      <c r="F15" s="13">
        <f>5301.6</f>
        <v>5301.6</v>
      </c>
      <c r="G15" s="13">
        <v>5251.2</v>
      </c>
      <c r="H15" s="13">
        <v>5376</v>
      </c>
      <c r="I15" s="13">
        <f>5400</f>
        <v>5400</v>
      </c>
      <c r="J15" s="13">
        <v>5160</v>
      </c>
      <c r="K15" s="13">
        <f>5311.2</f>
        <v>5311.2</v>
      </c>
      <c r="L15" s="13">
        <v>5356.8</v>
      </c>
      <c r="M15" s="13">
        <f>5282.28+5360</f>
        <v>10642.279999999999</v>
      </c>
      <c r="N15" s="16">
        <f t="shared" si="3"/>
        <v>64423.880000000005</v>
      </c>
      <c r="O15" s="14">
        <v>221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5" customFormat="1" ht="27" customHeight="1">
      <c r="A16" s="14" t="s">
        <v>0</v>
      </c>
      <c r="B16" s="13">
        <f aca="true" t="shared" si="4" ref="B16:M16">B17+B18</f>
        <v>0</v>
      </c>
      <c r="C16" s="13">
        <f t="shared" si="4"/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0</v>
      </c>
      <c r="N16" s="16">
        <f t="shared" si="3"/>
        <v>0</v>
      </c>
      <c r="O16" s="14" t="s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customHeight="1">
      <c r="A17" s="10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6">
        <f t="shared" si="3"/>
        <v>0</v>
      </c>
      <c r="O17" s="26" t="s">
        <v>10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" customHeight="1">
      <c r="A18" s="10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">
        <f t="shared" si="3"/>
        <v>0</v>
      </c>
      <c r="O18" s="26" t="s">
        <v>35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5" customFormat="1" ht="31.5" customHeight="1">
      <c r="A19" s="14" t="s">
        <v>1</v>
      </c>
      <c r="B19" s="13">
        <f>B20+B21+B22+B23+B24+B25+B26+B27+B28+B29+B31</f>
        <v>0</v>
      </c>
      <c r="C19" s="13">
        <f aca="true" t="shared" si="5" ref="C19:K19">C20+C21+C22+C23+C24+C25+C26+C27+C28+C29+C31</f>
        <v>5293.2</v>
      </c>
      <c r="D19" s="13">
        <f t="shared" si="5"/>
        <v>37873.2</v>
      </c>
      <c r="E19" s="13">
        <f t="shared" si="5"/>
        <v>14503.2</v>
      </c>
      <c r="F19" s="13">
        <f>F20+F21+F22+F23+F24+F25+F26+F27+F28+F29+F31</f>
        <v>3793.2</v>
      </c>
      <c r="G19" s="13">
        <f t="shared" si="5"/>
        <v>5293.2</v>
      </c>
      <c r="H19" s="13">
        <f>H20+H21+H22+H23+H24+H25+H26+H27+H28+H29+H31+H30</f>
        <v>33651.2</v>
      </c>
      <c r="I19" s="13">
        <f t="shared" si="5"/>
        <v>5293.2</v>
      </c>
      <c r="J19" s="13">
        <f t="shared" si="5"/>
        <v>5293.2</v>
      </c>
      <c r="K19" s="13">
        <f t="shared" si="5"/>
        <v>28093.2</v>
      </c>
      <c r="L19" s="13">
        <f>L20+L21+L22+L23+L24+L25+L26+L27+L28+L29+L31</f>
        <v>5293.2</v>
      </c>
      <c r="M19" s="13">
        <f>M20+M21+M22+M23+M24+M25+M26+M27+M28+M29+M31+M30</f>
        <v>61706.4</v>
      </c>
      <c r="N19" s="13">
        <f>N20+N21+N22+N23+N24+N25+N26+N27+N28+N29+N30+N31</f>
        <v>206086.4</v>
      </c>
      <c r="O19" s="14" t="s"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6" customFormat="1" ht="25.5" customHeight="1">
      <c r="A20" s="10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>
        <v>15000</v>
      </c>
      <c r="L20" s="11"/>
      <c r="M20" s="11"/>
      <c r="N20" s="16">
        <f t="shared" si="3"/>
        <v>15000</v>
      </c>
      <c r="O20" s="26" t="s">
        <v>24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6" customFormat="1" ht="25.5" customHeight="1">
      <c r="A21" s="10" t="s">
        <v>52</v>
      </c>
      <c r="B21" s="11"/>
      <c r="C21" s="11"/>
      <c r="D21" s="11"/>
      <c r="E21" s="11">
        <v>1050</v>
      </c>
      <c r="F21" s="11"/>
      <c r="G21" s="11"/>
      <c r="H21" s="11">
        <v>1050</v>
      </c>
      <c r="I21" s="11"/>
      <c r="J21" s="11"/>
      <c r="K21" s="11"/>
      <c r="L21" s="11"/>
      <c r="M21" s="11"/>
      <c r="N21" s="16">
        <f t="shared" si="3"/>
        <v>2100</v>
      </c>
      <c r="O21" s="26" t="s">
        <v>52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6" customFormat="1" ht="22.5" customHeight="1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1"/>
      <c r="K22" s="11">
        <v>7800</v>
      </c>
      <c r="L22" s="11"/>
      <c r="M22" s="11">
        <f>7800*2+15600</f>
        <v>31200</v>
      </c>
      <c r="N22" s="16">
        <f t="shared" si="3"/>
        <v>39000</v>
      </c>
      <c r="O22" s="26" t="s">
        <v>11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6" customFormat="1" ht="22.5" customHeight="1">
      <c r="A23" s="10" t="s">
        <v>43</v>
      </c>
      <c r="B23" s="11"/>
      <c r="C23" s="11"/>
      <c r="D23" s="11">
        <v>23150</v>
      </c>
      <c r="E23" s="11"/>
      <c r="F23" s="11"/>
      <c r="G23" s="11"/>
      <c r="H23" s="11"/>
      <c r="I23" s="11"/>
      <c r="J23" s="11"/>
      <c r="K23" s="11"/>
      <c r="L23" s="11"/>
      <c r="M23" s="11"/>
      <c r="N23" s="16">
        <f t="shared" si="3"/>
        <v>23150</v>
      </c>
      <c r="O23" s="26" t="s">
        <v>43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6" customFormat="1" ht="22.5" customHeight="1">
      <c r="A24" s="10" t="s">
        <v>44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6">
        <f t="shared" si="3"/>
        <v>0</v>
      </c>
      <c r="O24" s="26" t="s">
        <v>44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6" customFormat="1" ht="28.5" customHeight="1">
      <c r="A25" s="10" t="s">
        <v>50</v>
      </c>
      <c r="B25" s="11"/>
      <c r="C25" s="11">
        <f>3793.2</f>
        <v>3793.2</v>
      </c>
      <c r="D25" s="11">
        <v>3793.2</v>
      </c>
      <c r="E25" s="11">
        <v>3793.2</v>
      </c>
      <c r="F25" s="11">
        <v>3793.2</v>
      </c>
      <c r="G25" s="11">
        <v>3793.2</v>
      </c>
      <c r="H25" s="11">
        <v>3793.2</v>
      </c>
      <c r="I25" s="11">
        <v>3793.2</v>
      </c>
      <c r="J25" s="11">
        <v>3793.2</v>
      </c>
      <c r="K25" s="11">
        <v>3793.2</v>
      </c>
      <c r="L25" s="11">
        <v>3793.2</v>
      </c>
      <c r="M25" s="11">
        <f>3793.2*2</f>
        <v>7586.4</v>
      </c>
      <c r="N25" s="16">
        <f t="shared" si="3"/>
        <v>45518.4</v>
      </c>
      <c r="O25" s="26" t="s">
        <v>50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6" customFormat="1" ht="30" customHeight="1">
      <c r="A26" s="10" t="s">
        <v>31</v>
      </c>
      <c r="B26" s="11"/>
      <c r="C26" s="11"/>
      <c r="D26" s="11"/>
      <c r="E26" s="11">
        <v>8160</v>
      </c>
      <c r="F26" s="11"/>
      <c r="G26" s="11"/>
      <c r="H26" s="11"/>
      <c r="I26" s="11"/>
      <c r="J26" s="11"/>
      <c r="K26" s="11"/>
      <c r="L26" s="11"/>
      <c r="M26" s="11">
        <v>6050</v>
      </c>
      <c r="N26" s="16">
        <f t="shared" si="3"/>
        <v>14210</v>
      </c>
      <c r="O26" s="26" t="s">
        <v>31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6" customFormat="1" ht="30" customHeight="1">
      <c r="A27" s="10" t="s">
        <v>37</v>
      </c>
      <c r="B27" s="11"/>
      <c r="C27" s="11"/>
      <c r="D27" s="11"/>
      <c r="E27" s="11"/>
      <c r="F27" s="11"/>
      <c r="G27" s="11"/>
      <c r="H27" s="11">
        <f>6300+20208</f>
        <v>26508</v>
      </c>
      <c r="I27" s="11"/>
      <c r="J27" s="11"/>
      <c r="K27" s="11"/>
      <c r="L27" s="11"/>
      <c r="M27" s="11"/>
      <c r="N27" s="16">
        <f t="shared" si="3"/>
        <v>26508</v>
      </c>
      <c r="O27" s="26" t="s">
        <v>37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6" customFormat="1" ht="19.5" customHeight="1">
      <c r="A28" s="10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6">
        <f t="shared" si="3"/>
        <v>0</v>
      </c>
      <c r="O28" s="26" t="s">
        <v>34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6" customFormat="1" ht="19.5" customHeight="1">
      <c r="A29" s="10" t="s">
        <v>49</v>
      </c>
      <c r="B29" s="11"/>
      <c r="C29" s="11">
        <v>1500</v>
      </c>
      <c r="D29" s="11">
        <f>1500*2</f>
        <v>3000</v>
      </c>
      <c r="E29" s="11">
        <v>1500</v>
      </c>
      <c r="F29" s="11"/>
      <c r="G29" s="11">
        <v>1500</v>
      </c>
      <c r="H29" s="11">
        <v>1500</v>
      </c>
      <c r="I29" s="11">
        <v>1500</v>
      </c>
      <c r="J29" s="11">
        <v>1500</v>
      </c>
      <c r="K29" s="11">
        <v>1500</v>
      </c>
      <c r="L29" s="11">
        <v>1500</v>
      </c>
      <c r="M29" s="11">
        <f>1500*2</f>
        <v>3000</v>
      </c>
      <c r="N29" s="16">
        <f t="shared" si="3"/>
        <v>18000</v>
      </c>
      <c r="O29" s="26" t="s">
        <v>49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6" customFormat="1" ht="19.5" customHeight="1">
      <c r="A30" s="10" t="s">
        <v>60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f>7580+6290</f>
        <v>13870</v>
      </c>
      <c r="N30" s="16">
        <f t="shared" si="3"/>
        <v>13870</v>
      </c>
      <c r="O30" s="26" t="s">
        <v>55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6" customFormat="1" ht="30" customHeight="1">
      <c r="A31" s="10" t="s">
        <v>19</v>
      </c>
      <c r="B31" s="11"/>
      <c r="C31" s="11"/>
      <c r="D31" s="11">
        <f>6930+1000</f>
        <v>7930</v>
      </c>
      <c r="E31" s="11"/>
      <c r="F31" s="11"/>
      <c r="G31" s="11"/>
      <c r="H31" s="11">
        <v>800</v>
      </c>
      <c r="I31" s="11"/>
      <c r="J31" s="11"/>
      <c r="K31" s="11"/>
      <c r="L31" s="11"/>
      <c r="M31" s="11"/>
      <c r="N31" s="16">
        <f t="shared" si="3"/>
        <v>8730</v>
      </c>
      <c r="O31" s="26" t="s">
        <v>19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5" customFormat="1" ht="30" customHeight="1">
      <c r="A32" s="12" t="s">
        <v>4</v>
      </c>
      <c r="B32" s="13">
        <f aca="true" t="shared" si="6" ref="B32:K32">B33+B39</f>
        <v>0</v>
      </c>
      <c r="C32" s="13">
        <f>C33+C37+C39</f>
        <v>0</v>
      </c>
      <c r="D32" s="13">
        <f>D33+D39+D37</f>
        <v>0</v>
      </c>
      <c r="E32" s="13">
        <f t="shared" si="6"/>
        <v>0</v>
      </c>
      <c r="F32" s="13">
        <f>F33+F39+F35</f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3">
        <f t="shared" si="6"/>
        <v>234049.56</v>
      </c>
      <c r="K32" s="13">
        <f t="shared" si="6"/>
        <v>0</v>
      </c>
      <c r="L32" s="13">
        <f>L33+L39+L37+L34</f>
        <v>0</v>
      </c>
      <c r="M32" s="13">
        <f>M33+M34+M35+M36+M37+M38</f>
        <v>0</v>
      </c>
      <c r="N32" s="16">
        <f t="shared" si="3"/>
        <v>234049.56</v>
      </c>
      <c r="O32" s="14" t="s">
        <v>4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6" customFormat="1" ht="37.5" customHeight="1">
      <c r="A33" s="10" t="s">
        <v>46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6">
        <f t="shared" si="3"/>
        <v>0</v>
      </c>
      <c r="O33" s="26" t="s">
        <v>46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6" customFormat="1" ht="27" customHeight="1">
      <c r="A34" s="10" t="s">
        <v>47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">
        <f t="shared" si="3"/>
        <v>0</v>
      </c>
      <c r="O34" s="26" t="s">
        <v>47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6" customFormat="1" ht="27" customHeight="1">
      <c r="A35" s="10" t="s">
        <v>54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6">
        <f t="shared" si="3"/>
        <v>0</v>
      </c>
      <c r="O35" s="26" t="s">
        <v>54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6" customFormat="1" ht="27" customHeight="1">
      <c r="A36" s="10" t="s">
        <v>48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6">
        <f t="shared" si="3"/>
        <v>0</v>
      </c>
      <c r="O36" s="26" t="s">
        <v>48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2.5" customHeight="1">
      <c r="A37" s="10" t="s">
        <v>51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6">
        <f t="shared" si="3"/>
        <v>0</v>
      </c>
      <c r="O37" s="26" t="s">
        <v>51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22.5" customHeight="1">
      <c r="A38" s="10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6">
        <f t="shared" si="3"/>
        <v>0</v>
      </c>
      <c r="O38" s="26" t="s">
        <v>53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25.5" customHeight="1">
      <c r="A39" s="10" t="s">
        <v>6</v>
      </c>
      <c r="B39" s="11"/>
      <c r="C39" s="11"/>
      <c r="D39" s="11"/>
      <c r="E39" s="11"/>
      <c r="F39" s="11"/>
      <c r="G39" s="11"/>
      <c r="H39" s="11"/>
      <c r="I39" s="11"/>
      <c r="J39" s="11">
        <f>222739.56+11310</f>
        <v>234049.56</v>
      </c>
      <c r="K39" s="11"/>
      <c r="L39" s="11"/>
      <c r="M39" s="11"/>
      <c r="N39" s="16">
        <f t="shared" si="3"/>
        <v>234049.56</v>
      </c>
      <c r="O39" s="26" t="s">
        <v>6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15" customFormat="1" ht="25.5" customHeight="1">
      <c r="A40" s="14" t="s">
        <v>2</v>
      </c>
      <c r="B40" s="13">
        <f aca="true" t="shared" si="7" ref="B40:G40">B41+B45</f>
        <v>0</v>
      </c>
      <c r="C40" s="13">
        <f t="shared" si="7"/>
        <v>0</v>
      </c>
      <c r="D40" s="13">
        <f>D41+D45+D43</f>
        <v>0</v>
      </c>
      <c r="E40" s="13">
        <f>E41+E45+E43</f>
        <v>0</v>
      </c>
      <c r="F40" s="13">
        <f t="shared" si="7"/>
        <v>0</v>
      </c>
      <c r="G40" s="13">
        <f t="shared" si="7"/>
        <v>0</v>
      </c>
      <c r="H40" s="13">
        <f>H41+H45+H42</f>
        <v>0</v>
      </c>
      <c r="I40" s="13">
        <f>I41+I45+I42+I43+I44</f>
        <v>0</v>
      </c>
      <c r="J40" s="13">
        <f>J41+J45+J42+J43</f>
        <v>51065</v>
      </c>
      <c r="K40" s="13">
        <f>K41+K45+K42+K43</f>
        <v>0</v>
      </c>
      <c r="L40" s="13">
        <f>L41+L45+L42+L43</f>
        <v>44205</v>
      </c>
      <c r="M40" s="13">
        <f>M41+M42+M43+M44+M45</f>
        <v>18170.16</v>
      </c>
      <c r="N40" s="16">
        <f t="shared" si="3"/>
        <v>113440.16</v>
      </c>
      <c r="O40" s="14" t="s">
        <v>2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8.5" customHeight="1">
      <c r="A41" s="10" t="s">
        <v>7</v>
      </c>
      <c r="B41" s="11"/>
      <c r="C41" s="11"/>
      <c r="D41" s="11"/>
      <c r="E41" s="11"/>
      <c r="F41" s="11"/>
      <c r="G41" s="11"/>
      <c r="H41" s="11"/>
      <c r="I41" s="11"/>
      <c r="J41" s="11">
        <v>34050</v>
      </c>
      <c r="K41" s="11"/>
      <c r="L41" s="11"/>
      <c r="M41" s="11">
        <v>18170.16</v>
      </c>
      <c r="N41" s="16">
        <f t="shared" si="3"/>
        <v>52220.16</v>
      </c>
      <c r="O41" s="26" t="s">
        <v>7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8.5" customHeight="1">
      <c r="A42" s="10" t="s">
        <v>36</v>
      </c>
      <c r="B42" s="11"/>
      <c r="C42" s="11"/>
      <c r="D42" s="11"/>
      <c r="E42" s="11"/>
      <c r="F42" s="11"/>
      <c r="G42" s="11"/>
      <c r="H42" s="11"/>
      <c r="I42" s="11"/>
      <c r="J42" s="11">
        <v>3850</v>
      </c>
      <c r="K42" s="11"/>
      <c r="L42" s="11"/>
      <c r="M42" s="11"/>
      <c r="N42" s="16">
        <f t="shared" si="3"/>
        <v>3850</v>
      </c>
      <c r="O42" s="26" t="s">
        <v>36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8.5" customHeight="1">
      <c r="A43" s="10" t="s">
        <v>58</v>
      </c>
      <c r="B43" s="11"/>
      <c r="C43" s="11"/>
      <c r="D43" s="11"/>
      <c r="E43" s="11"/>
      <c r="F43" s="11"/>
      <c r="G43" s="11"/>
      <c r="H43" s="11"/>
      <c r="I43" s="11"/>
      <c r="J43" s="11">
        <v>13165</v>
      </c>
      <c r="K43" s="11"/>
      <c r="L43" s="11">
        <f>67865-23660</f>
        <v>44205</v>
      </c>
      <c r="M43" s="11"/>
      <c r="N43" s="16">
        <f t="shared" si="3"/>
        <v>57370</v>
      </c>
      <c r="O43" s="26" t="s">
        <v>58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>
      <c r="A44" s="10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6">
        <f t="shared" si="3"/>
        <v>0</v>
      </c>
      <c r="O44" s="26" t="s">
        <v>56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5.5" customHeight="1">
      <c r="A45" s="10" t="s">
        <v>57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6">
        <f t="shared" si="3"/>
        <v>0</v>
      </c>
      <c r="O45" s="26" t="s">
        <v>57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5" customFormat="1" ht="34.5" customHeight="1">
      <c r="A46" s="14" t="s">
        <v>3</v>
      </c>
      <c r="B46" s="13">
        <f>B5+B11+B14+B15+B16+B19+B32+B40</f>
        <v>263385.61000000004</v>
      </c>
      <c r="C46" s="13">
        <f aca="true" t="shared" si="8" ref="C46:M46">C5+C11+C14+C15+C16+C19+C32+C40</f>
        <v>858028.46</v>
      </c>
      <c r="D46" s="13">
        <f t="shared" si="8"/>
        <v>867109.23</v>
      </c>
      <c r="E46" s="13">
        <f t="shared" si="8"/>
        <v>836120.3299999998</v>
      </c>
      <c r="F46" s="13">
        <f t="shared" si="8"/>
        <v>1545064.47</v>
      </c>
      <c r="G46" s="13">
        <f t="shared" si="8"/>
        <v>913491.8999999999</v>
      </c>
      <c r="H46" s="13">
        <f t="shared" si="8"/>
        <v>1366799.9999999998</v>
      </c>
      <c r="I46" s="13">
        <f t="shared" si="8"/>
        <v>60000</v>
      </c>
      <c r="J46" s="13">
        <f t="shared" si="8"/>
        <v>880900</v>
      </c>
      <c r="K46" s="13">
        <f>K5+K11+K14+K15+K16+K19+K32+K40</f>
        <v>699658.0499999998</v>
      </c>
      <c r="L46" s="13">
        <f t="shared" si="8"/>
        <v>805710.1799999999</v>
      </c>
      <c r="M46" s="13">
        <f t="shared" si="8"/>
        <v>1616931.77</v>
      </c>
      <c r="N46" s="16">
        <f t="shared" si="3"/>
        <v>10713200</v>
      </c>
      <c r="O46" s="14" t="s">
        <v>3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5" customFormat="1" ht="45" customHeight="1">
      <c r="A47" s="20" t="s">
        <v>32</v>
      </c>
      <c r="B47" s="13">
        <v>850000</v>
      </c>
      <c r="C47" s="13">
        <f>850000</f>
        <v>850000</v>
      </c>
      <c r="D47" s="13">
        <v>630000</v>
      </c>
      <c r="E47" s="13">
        <v>850000</v>
      </c>
      <c r="F47" s="19">
        <v>2600000</v>
      </c>
      <c r="G47" s="13">
        <f>1810000</f>
        <v>1810000</v>
      </c>
      <c r="H47" s="13"/>
      <c r="I47" s="13"/>
      <c r="J47" s="13">
        <v>444900</v>
      </c>
      <c r="K47" s="13">
        <v>850000</v>
      </c>
      <c r="L47" s="13">
        <v>850000</v>
      </c>
      <c r="M47" s="13">
        <v>978300</v>
      </c>
      <c r="N47" s="16">
        <f t="shared" si="3"/>
        <v>10713200</v>
      </c>
      <c r="O47" s="20" t="s">
        <v>32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15" customFormat="1" ht="39" customHeight="1">
      <c r="A48" s="20" t="s">
        <v>33</v>
      </c>
      <c r="B48" s="13">
        <f>B47-B46</f>
        <v>586614.3899999999</v>
      </c>
      <c r="C48" s="13">
        <f aca="true" t="shared" si="9" ref="C48:L48">B48+C47-C46</f>
        <v>578585.9299999999</v>
      </c>
      <c r="D48" s="13">
        <f t="shared" si="9"/>
        <v>341476.69999999995</v>
      </c>
      <c r="E48" s="13">
        <f t="shared" si="9"/>
        <v>355356.3700000001</v>
      </c>
      <c r="F48" s="13">
        <f t="shared" si="9"/>
        <v>1410291.9000000001</v>
      </c>
      <c r="G48" s="13">
        <f t="shared" si="9"/>
        <v>2306800.0000000005</v>
      </c>
      <c r="H48" s="13">
        <f t="shared" si="9"/>
        <v>940000.0000000007</v>
      </c>
      <c r="I48" s="13">
        <f>H48+I47-I46</f>
        <v>880000.0000000007</v>
      </c>
      <c r="J48" s="13">
        <f t="shared" si="9"/>
        <v>444000.0000000007</v>
      </c>
      <c r="K48" s="13">
        <f>J48+K47-K46</f>
        <v>594341.9500000009</v>
      </c>
      <c r="L48" s="13">
        <f t="shared" si="9"/>
        <v>638631.770000001</v>
      </c>
      <c r="M48" s="13">
        <f>L48+M47-M46</f>
        <v>0</v>
      </c>
      <c r="N48" s="16">
        <f>N47-N46</f>
        <v>0</v>
      </c>
      <c r="O48" s="20" t="s">
        <v>33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" ht="18">
      <c r="A49" s="7" t="s">
        <v>14</v>
      </c>
      <c r="B49" s="3" t="s">
        <v>15</v>
      </c>
    </row>
    <row r="50" ht="18">
      <c r="D50" s="18"/>
    </row>
    <row r="51" spans="1:2" ht="18">
      <c r="A51" s="7" t="s">
        <v>16</v>
      </c>
      <c r="B51" s="3" t="s">
        <v>17</v>
      </c>
    </row>
    <row r="53" ht="18">
      <c r="N53" s="3">
        <f>380000-N48</f>
        <v>380000</v>
      </c>
    </row>
    <row r="54" ht="18">
      <c r="F54" s="3">
        <f>700000-F48</f>
        <v>-710291.9000000001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2019-12-02T07:43:23Z</cp:lastPrinted>
  <dcterms:created xsi:type="dcterms:W3CDTF">1996-10-08T23:32:33Z</dcterms:created>
  <dcterms:modified xsi:type="dcterms:W3CDTF">2021-01-08T08:30:58Z</dcterms:modified>
  <cp:category/>
  <cp:version/>
  <cp:contentType/>
  <cp:contentStatus/>
</cp:coreProperties>
</file>