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'!$A$1:$O$122</definedName>
  </definedNames>
  <calcPr fullCalcOnLoad="1"/>
</workbook>
</file>

<file path=xl/sharedStrings.xml><?xml version="1.0" encoding="utf-8"?>
<sst xmlns="http://schemas.openxmlformats.org/spreadsheetml/2006/main" count="193" uniqueCount="92">
  <si>
    <t>340 в т.ч.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</si>
  <si>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</si>
  <si>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</si>
  <si>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</si>
  <si>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</si>
  <si>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</si>
  <si>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</si>
  <si>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</si>
  <si>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</si>
  <si>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</si>
  <si>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</si>
  <si>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</si>
  <si>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</si>
  <si>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</si>
  <si>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</si>
  <si>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</si>
  <si>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</si>
  <si>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</si>
  <si>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</si>
  <si>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</si>
  <si>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молоко</t>
  </si>
  <si>
    <t>з/плата гарантированная</t>
  </si>
  <si>
    <t>612 заработная плата  211</t>
  </si>
  <si>
    <t>612 начисления на з/плату 213</t>
  </si>
  <si>
    <t>211+213</t>
  </si>
  <si>
    <t>611 з/п</t>
  </si>
  <si>
    <t>Остаток на л/счете з/плата</t>
  </si>
  <si>
    <t>Финансирование питание</t>
  </si>
  <si>
    <t>Остаток на л/счете питание</t>
  </si>
  <si>
    <t>Итого расход по з/плате и начислениям на з/плату</t>
  </si>
  <si>
    <t>Финансирование з/плата кух.работников</t>
  </si>
  <si>
    <t>Финансирование з/плата несовершеннолетних</t>
  </si>
  <si>
    <t>Финансирование лагерь</t>
  </si>
  <si>
    <t>расход лагерь 340</t>
  </si>
  <si>
    <t xml:space="preserve">№ п/п </t>
  </si>
  <si>
    <t>Остаток на л/счете лагерь</t>
  </si>
  <si>
    <t xml:space="preserve">расход </t>
  </si>
  <si>
    <t>Финансирование з/плата авто</t>
  </si>
  <si>
    <t>Финансирование авто прочие</t>
  </si>
  <si>
    <t>Остаток на л/счете авто</t>
  </si>
  <si>
    <t>ИТОГО сумма финансирования  субсидии</t>
  </si>
  <si>
    <t>з/части</t>
  </si>
  <si>
    <t>бензин</t>
  </si>
  <si>
    <t>ИТОГО расход всех субсидий</t>
  </si>
  <si>
    <t>ИТОГО остаток на л/счете по всем субсидиям</t>
  </si>
  <si>
    <t>Итого расход по авто прочие</t>
  </si>
  <si>
    <t>Финансирование лагерь вода</t>
  </si>
  <si>
    <t>Остаток на л/счете лагерь вода</t>
  </si>
  <si>
    <t>226                                           поверка весов</t>
  </si>
  <si>
    <t xml:space="preserve">м/о водителя </t>
  </si>
  <si>
    <t>м/о водителя предр и послер.</t>
  </si>
  <si>
    <t>тех.обслуживание</t>
  </si>
  <si>
    <t>страховка автобуса</t>
  </si>
  <si>
    <t>290 транспортный налог ,госпошлина         290</t>
  </si>
  <si>
    <t>моющие, дезсредства</t>
  </si>
  <si>
    <t>Финансирование  кружковая работа</t>
  </si>
  <si>
    <t>Остаток на л/счете круж.работа</t>
  </si>
  <si>
    <t>тех.осмотр</t>
  </si>
  <si>
    <t>посуда</t>
  </si>
  <si>
    <t>гигиен.обучение,    м/осмотр кух.работников</t>
  </si>
  <si>
    <t>Финансирование тестирование</t>
  </si>
  <si>
    <t>расход тестирование 226</t>
  </si>
  <si>
    <t>Остаток на л/счете тестирование</t>
  </si>
  <si>
    <t>Финансирование ПСД</t>
  </si>
  <si>
    <t>ИТОГО расход круж.работа</t>
  </si>
  <si>
    <t>Остаток на л/счете ПСД</t>
  </si>
  <si>
    <t>ИТОГО расход питание</t>
  </si>
  <si>
    <t>расход лагерь вода+стаканчики  340</t>
  </si>
  <si>
    <t>Финансирование рез.фонд</t>
  </si>
  <si>
    <t>форма ЮИД</t>
  </si>
  <si>
    <t>уличные тренажеры</t>
  </si>
  <si>
    <t>замена  тахографа + карта водителя</t>
  </si>
  <si>
    <t>Финансирование 643</t>
  </si>
  <si>
    <t>Финансирование  классное руководство</t>
  </si>
  <si>
    <t>ИТОГО расход кл.рук-во</t>
  </si>
  <si>
    <t>Остаток на л/счете кл.рук-во</t>
  </si>
  <si>
    <t>обучение диспетчера и водителя</t>
  </si>
  <si>
    <t>Остаток на л/счете рез.фонд</t>
  </si>
  <si>
    <t>Остаток на л/счете 643</t>
  </si>
  <si>
    <t>Финансирование питание областные 1-4 классы</t>
  </si>
  <si>
    <t>Остаток на  лицевом счете</t>
  </si>
  <si>
    <t>Финансирование питание федеральные 1-4 классы</t>
  </si>
  <si>
    <t>Финансирование ПИРы</t>
  </si>
  <si>
    <t>Информация о расходовании средств субсидии 21 л/счет  за январь-декабрь 2020 год</t>
  </si>
  <si>
    <t>спецодежда кухня</t>
  </si>
  <si>
    <t>310 эл.полотенце+дозатор для антисептика</t>
  </si>
  <si>
    <t>мат.помощь</t>
  </si>
  <si>
    <t>спецодежда</t>
  </si>
  <si>
    <t>манекен для борьбы</t>
  </si>
  <si>
    <t>куртки для самбо</t>
  </si>
  <si>
    <t>пневматич.винтовки</t>
  </si>
  <si>
    <t>340 пули для пнев.винтовки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</si>
</sst>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4" fontId="6" fillId="0" borderId="1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4" fontId="5" fillId="4" borderId="1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1" xfId="0" applyNumberFormat="1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horizontal="right" wrapText="1"/>
    </xf>
    <xf numFmtId="184" fontId="5" fillId="4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center" wrapText="1"/>
    </xf>
    <xf numFmtId="2" fontId="5" fillId="12" borderId="11" xfId="0" applyNumberFormat="1" applyFont="1" applyFill="1" applyBorder="1" applyAlignment="1">
      <alignment wrapText="1"/>
    </xf>
    <xf numFmtId="2" fontId="5" fillId="12" borderId="10" xfId="0" applyNumberFormat="1" applyFont="1" applyFill="1" applyBorder="1" applyAlignment="1">
      <alignment horizontal="right" wrapText="1"/>
    </xf>
    <xf numFmtId="2" fontId="5" fillId="12" borderId="11" xfId="0" applyNumberFormat="1" applyFont="1" applyFill="1" applyBorder="1" applyAlignment="1">
      <alignment horizontal="center" wrapText="1"/>
    </xf>
    <xf numFmtId="2" fontId="5" fillId="12" borderId="11" xfId="0" applyNumberFormat="1" applyFont="1" applyFill="1" applyBorder="1" applyAlignment="1">
      <alignment horizontal="right" wrapText="1"/>
    </xf>
    <xf numFmtId="183" fontId="5" fillId="32" borderId="10" xfId="0" applyNumberFormat="1" applyFont="1" applyFill="1" applyBorder="1" applyAlignment="1">
      <alignment wrapText="1"/>
    </xf>
    <xf numFmtId="2" fontId="5" fillId="32" borderId="11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/>
    </xf>
    <xf numFmtId="184" fontId="5" fillId="12" borderId="1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 wrapText="1"/>
    </xf>
    <xf numFmtId="184" fontId="5" fillId="33" borderId="11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3" fontId="5" fillId="0" borderId="12" xfId="0" applyNumberFormat="1" applyFont="1" applyFill="1" applyBorder="1" applyAlignment="1">
      <alignment wrapText="1"/>
    </xf>
    <xf numFmtId="183" fontId="5" fillId="4" borderId="13" xfId="0" applyNumberFormat="1" applyFont="1" applyFill="1" applyBorder="1" applyAlignment="1">
      <alignment wrapText="1"/>
    </xf>
    <xf numFmtId="183" fontId="5" fillId="12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wrapText="1"/>
    </xf>
    <xf numFmtId="183" fontId="5" fillId="32" borderId="13" xfId="0" applyNumberFormat="1" applyFont="1" applyFill="1" applyBorder="1" applyAlignment="1">
      <alignment wrapText="1"/>
    </xf>
    <xf numFmtId="183" fontId="5" fillId="33" borderId="13" xfId="0" applyNumberFormat="1" applyFont="1" applyFill="1" applyBorder="1" applyAlignment="1">
      <alignment wrapText="1"/>
    </xf>
    <xf numFmtId="183" fontId="5" fillId="12" borderId="13" xfId="0" applyNumberFormat="1" applyFont="1" applyFill="1" applyBorder="1" applyAlignment="1">
      <alignment wrapText="1"/>
    </xf>
    <xf numFmtId="183" fontId="6" fillId="0" borderId="13" xfId="0" applyNumberFormat="1" applyFont="1" applyFill="1" applyBorder="1" applyAlignment="1">
      <alignment horizontal="right" wrapText="1"/>
    </xf>
    <xf numFmtId="183" fontId="5" fillId="12" borderId="13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3" fontId="5" fillId="0" borderId="13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183" fontId="5" fillId="0" borderId="13" xfId="0" applyNumberFormat="1" applyFont="1" applyFill="1" applyBorder="1" applyAlignment="1">
      <alignment wrapText="1"/>
    </xf>
    <xf numFmtId="0" fontId="6" fillId="12" borderId="10" xfId="0" applyFont="1" applyFill="1" applyBorder="1" applyAlignment="1">
      <alignment wrapText="1"/>
    </xf>
    <xf numFmtId="183" fontId="5" fillId="34" borderId="13" xfId="0" applyNumberFormat="1" applyFont="1" applyFill="1" applyBorder="1" applyAlignment="1">
      <alignment wrapText="1"/>
    </xf>
    <xf numFmtId="2" fontId="5" fillId="34" borderId="11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right" wrapText="1"/>
    </xf>
    <xf numFmtId="2" fontId="5" fillId="34" borderId="10" xfId="0" applyNumberFormat="1" applyFont="1" applyFill="1" applyBorder="1" applyAlignment="1">
      <alignment horizontal="right" wrapText="1"/>
    </xf>
    <xf numFmtId="183" fontId="6" fillId="35" borderId="13" xfId="0" applyNumberFormat="1" applyFont="1" applyFill="1" applyBorder="1" applyAlignment="1">
      <alignment horizontal="right" wrapText="1"/>
    </xf>
    <xf numFmtId="184" fontId="6" fillId="35" borderId="10" xfId="0" applyNumberFormat="1" applyFont="1" applyFill="1" applyBorder="1" applyAlignment="1">
      <alignment/>
    </xf>
    <xf numFmtId="184" fontId="5" fillId="32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183" fontId="5" fillId="4" borderId="13" xfId="0" applyNumberFormat="1" applyFont="1" applyFill="1" applyBorder="1" applyAlignment="1">
      <alignment horizontal="left" wrapText="1"/>
    </xf>
    <xf numFmtId="183" fontId="5" fillId="12" borderId="12" xfId="0" applyNumberFormat="1" applyFont="1" applyFill="1" applyBorder="1" applyAlignment="1">
      <alignment horizontal="left" wrapText="1"/>
    </xf>
    <xf numFmtId="183" fontId="5" fillId="0" borderId="12" xfId="0" applyNumberFormat="1" applyFont="1" applyFill="1" applyBorder="1" applyAlignment="1">
      <alignment horizontal="left" wrapText="1"/>
    </xf>
    <xf numFmtId="183" fontId="5" fillId="32" borderId="13" xfId="0" applyNumberFormat="1" applyFont="1" applyFill="1" applyBorder="1" applyAlignment="1">
      <alignment horizontal="left" wrapText="1"/>
    </xf>
    <xf numFmtId="183" fontId="5" fillId="33" borderId="13" xfId="0" applyNumberFormat="1" applyFont="1" applyFill="1" applyBorder="1" applyAlignment="1">
      <alignment horizontal="left" wrapText="1"/>
    </xf>
    <xf numFmtId="183" fontId="6" fillId="0" borderId="13" xfId="0" applyNumberFormat="1" applyFont="1" applyFill="1" applyBorder="1" applyAlignment="1">
      <alignment horizontal="left" wrapText="1"/>
    </xf>
    <xf numFmtId="183" fontId="6" fillId="35" borderId="13" xfId="0" applyNumberFormat="1" applyFont="1" applyFill="1" applyBorder="1" applyAlignment="1">
      <alignment horizontal="left" wrapText="1"/>
    </xf>
    <xf numFmtId="183" fontId="5" fillId="12" borderId="13" xfId="0" applyNumberFormat="1" applyFont="1" applyFill="1" applyBorder="1" applyAlignment="1">
      <alignment horizontal="left" wrapText="1"/>
    </xf>
    <xf numFmtId="183" fontId="5" fillId="0" borderId="13" xfId="0" applyNumberFormat="1" applyFont="1" applyFill="1" applyBorder="1" applyAlignment="1">
      <alignment horizontal="left" wrapText="1"/>
    </xf>
    <xf numFmtId="183" fontId="5" fillId="32" borderId="10" xfId="0" applyNumberFormat="1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center" wrapText="1"/>
    </xf>
    <xf numFmtId="184" fontId="5" fillId="4" borderId="1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83" fontId="5" fillId="34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view="pageBreakPreview" zoomScale="75" zoomScaleSheetLayoutView="75" zoomScalePageLayoutView="0" workbookViewId="0" topLeftCell="A1">
      <selection activeCell="O117" sqref="O117"/>
    </sheetView>
  </sheetViews>
  <sheetFormatPr defaultColWidth="9.140625" defaultRowHeight="12.75"/>
  <cols>
    <col min="1" max="1" width="5.8515625" style="2" customWidth="1"/>
    <col min="2" max="2" width="56.7109375" style="6" customWidth="1"/>
    <col min="3" max="3" width="18.28125" style="3" customWidth="1"/>
    <col min="4" max="4" width="18.140625" style="3" customWidth="1"/>
    <col min="5" max="5" width="19.8515625" style="3" customWidth="1"/>
    <col min="6" max="6" width="18.7109375" style="3" customWidth="1"/>
    <col min="7" max="7" width="18.421875" style="3" customWidth="1"/>
    <col min="8" max="8" width="19.00390625" style="3" customWidth="1"/>
    <col min="9" max="9" width="22.28125" style="3" customWidth="1"/>
    <col min="10" max="10" width="21.00390625" style="3" customWidth="1"/>
    <col min="11" max="11" width="18.00390625" style="3" customWidth="1"/>
    <col min="12" max="12" width="18.421875" style="3" customWidth="1"/>
    <col min="13" max="13" width="17.28125" style="3" customWidth="1"/>
    <col min="14" max="14" width="17.140625" style="3" customWidth="1"/>
    <col min="15" max="15" width="22.7109375" style="3" customWidth="1"/>
    <col min="16" max="16" width="22.421875" style="2" customWidth="1"/>
    <col min="17" max="17" width="58.140625" style="2" customWidth="1"/>
    <col min="18" max="18" width="9.140625" style="2" customWidth="1"/>
    <col min="19" max="19" width="24.28125" style="2" customWidth="1"/>
    <col min="20" max="16384" width="9.140625" style="2" customWidth="1"/>
  </cols>
  <sheetData>
    <row r="1" spans="2:19" ht="51" customHeight="1">
      <c r="B1" s="85" t="s">
        <v>83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4"/>
      <c r="P1" s="20"/>
      <c r="Q1" s="20"/>
      <c r="R1" s="20"/>
      <c r="S1" s="20"/>
    </row>
    <row r="2" spans="2:19" ht="33" customHeight="1">
      <c r="B2" s="83" t="s">
        <v>2</v>
      </c>
      <c r="C2" s="8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5" t="s">
        <v>25</v>
      </c>
      <c r="Q2" s="20"/>
      <c r="R2" s="20"/>
      <c r="S2" s="20"/>
    </row>
    <row r="3" spans="1:26" s="4" customFormat="1" ht="33.75" customHeight="1">
      <c r="A3" s="53" t="s">
        <v>34</v>
      </c>
      <c r="B3" s="44"/>
      <c r="C3" s="9" t="s">
        <v>3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10" t="s">
        <v>1</v>
      </c>
      <c r="P3" s="23" t="s">
        <v>24</v>
      </c>
      <c r="Q3" s="73"/>
      <c r="R3" s="21"/>
      <c r="S3" s="21"/>
      <c r="T3" s="5"/>
      <c r="U3" s="5"/>
      <c r="V3" s="5"/>
      <c r="W3" s="5"/>
      <c r="X3" s="5"/>
      <c r="Y3" s="5"/>
      <c r="Z3" s="5"/>
    </row>
    <row r="4" spans="1:26" s="4" customFormat="1" ht="21" customHeight="1">
      <c r="A4" s="54">
        <v>1</v>
      </c>
      <c r="B4" s="45" t="s">
        <v>30</v>
      </c>
      <c r="C4" s="9">
        <v>12000</v>
      </c>
      <c r="D4" s="9">
        <v>31700</v>
      </c>
      <c r="E4" s="9">
        <v>31700</v>
      </c>
      <c r="F4" s="9">
        <v>51400</v>
      </c>
      <c r="G4" s="9">
        <v>12000</v>
      </c>
      <c r="H4" s="9">
        <v>47600</v>
      </c>
      <c r="I4" s="9">
        <v>47600</v>
      </c>
      <c r="J4" s="9">
        <v>8000</v>
      </c>
      <c r="K4" s="9">
        <f>25000</f>
        <v>25000</v>
      </c>
      <c r="L4" s="9">
        <v>32300</v>
      </c>
      <c r="M4" s="9">
        <v>32300</v>
      </c>
      <c r="N4" s="9">
        <v>51100</v>
      </c>
      <c r="O4" s="10">
        <f>SUM(C4:N4)</f>
        <v>382700</v>
      </c>
      <c r="P4" s="23"/>
      <c r="Q4" s="71" t="s">
        <v>30</v>
      </c>
      <c r="R4" s="21"/>
      <c r="S4" s="21"/>
      <c r="T4" s="5"/>
      <c r="U4" s="5"/>
      <c r="V4" s="5"/>
      <c r="W4" s="5"/>
      <c r="X4" s="5"/>
      <c r="Y4" s="5"/>
      <c r="Z4" s="5"/>
    </row>
    <row r="5" spans="1:26" s="4" customFormat="1" ht="21" customHeight="1">
      <c r="A5" s="53"/>
      <c r="B5" s="46" t="s">
        <v>22</v>
      </c>
      <c r="C5" s="31">
        <f>C6+C7</f>
        <v>12000</v>
      </c>
      <c r="D5" s="31">
        <f aca="true" t="shared" si="0" ref="D5:M5">D6+D7</f>
        <v>24373.479999999996</v>
      </c>
      <c r="E5" s="31">
        <f t="shared" si="0"/>
        <v>24373.479999999996</v>
      </c>
      <c r="F5" s="31">
        <f t="shared" si="0"/>
        <v>24373.48</v>
      </c>
      <c r="G5" s="31">
        <f t="shared" si="0"/>
        <v>24373.479999999996</v>
      </c>
      <c r="H5" s="31">
        <f t="shared" si="0"/>
        <v>38415.979999999996</v>
      </c>
      <c r="I5" s="31">
        <f t="shared" si="0"/>
        <v>31105.28</v>
      </c>
      <c r="J5" s="31">
        <f t="shared" si="0"/>
        <v>8000</v>
      </c>
      <c r="K5" s="31">
        <f t="shared" si="0"/>
        <v>21613.83</v>
      </c>
      <c r="L5" s="31">
        <f t="shared" si="0"/>
        <v>25768.489999999998</v>
      </c>
      <c r="M5" s="31">
        <f t="shared" si="0"/>
        <v>27844</v>
      </c>
      <c r="N5" s="31">
        <f>N6+N7</f>
        <v>32409.4</v>
      </c>
      <c r="O5" s="32">
        <f>C5+D5+E5+F5+G5+H5+I5+J5+K5+L5+M5+N5</f>
        <v>294650.89999999997</v>
      </c>
      <c r="P5" s="24">
        <f>O5+O8</f>
        <v>382700</v>
      </c>
      <c r="Q5" s="72" t="s">
        <v>22</v>
      </c>
      <c r="R5" s="21"/>
      <c r="S5" s="22"/>
      <c r="T5" s="5"/>
      <c r="U5" s="5"/>
      <c r="V5" s="5"/>
      <c r="W5" s="5"/>
      <c r="X5" s="5"/>
      <c r="Y5" s="5"/>
      <c r="Z5" s="5"/>
    </row>
    <row r="6" spans="1:26" s="4" customFormat="1" ht="21" customHeight="1">
      <c r="A6" s="53"/>
      <c r="B6" s="47" t="s">
        <v>21</v>
      </c>
      <c r="C6" s="27">
        <v>12000</v>
      </c>
      <c r="D6" s="28">
        <f>8863.4+12113.48+3154+242.6</f>
        <v>24373.479999999996</v>
      </c>
      <c r="E6" s="28">
        <f>8749.92+12226.96+3154+242.6</f>
        <v>24373.479999999996</v>
      </c>
      <c r="F6" s="28">
        <f>8636.44+12340.44+3154+242.6</f>
        <v>24373.48</v>
      </c>
      <c r="G6" s="28">
        <f>8522.96+12453.92+3154+242.6</f>
        <v>24373.479999999996</v>
      </c>
      <c r="H6" s="28">
        <f>18378.37+2484.21+10431.7+6613+508.7</f>
        <v>38415.979999999996</v>
      </c>
      <c r="I6" s="29">
        <f>26750.23+4044+311.05</f>
        <v>31105.28</v>
      </c>
      <c r="J6" s="29">
        <v>8000</v>
      </c>
      <c r="K6" s="29">
        <f>3903.27+12130+5182+398.56</f>
        <v>21613.83</v>
      </c>
      <c r="L6" s="29">
        <f>10241.89+12130+3154+242.6</f>
        <v>25768.489999999998</v>
      </c>
      <c r="M6" s="29">
        <f>8733.4+15714+3154+242.6</f>
        <v>27844</v>
      </c>
      <c r="N6" s="29">
        <f>5149.4+12130+11313.4+3544+272.6-N7</f>
        <v>29409.4</v>
      </c>
      <c r="O6" s="26">
        <f>C6+D6+E6+F6+G6+H6+I6+J6+K6+L6+M6+N6</f>
        <v>291650.89999999997</v>
      </c>
      <c r="P6" s="22"/>
      <c r="Q6" s="73" t="s">
        <v>21</v>
      </c>
      <c r="R6" s="21"/>
      <c r="S6" s="22"/>
      <c r="T6" s="5"/>
      <c r="U6" s="5"/>
      <c r="V6" s="5"/>
      <c r="W6" s="5"/>
      <c r="X6" s="5"/>
      <c r="Y6" s="5"/>
      <c r="Z6" s="5"/>
    </row>
    <row r="7" spans="1:26" s="4" customFormat="1" ht="21" customHeight="1">
      <c r="A7" s="53"/>
      <c r="B7" s="47" t="s">
        <v>86</v>
      </c>
      <c r="C7" s="27"/>
      <c r="D7" s="28"/>
      <c r="E7" s="28"/>
      <c r="F7" s="28"/>
      <c r="G7" s="28"/>
      <c r="H7" s="28"/>
      <c r="I7" s="29"/>
      <c r="J7" s="29"/>
      <c r="K7" s="29"/>
      <c r="L7" s="29"/>
      <c r="M7" s="29"/>
      <c r="N7" s="29">
        <f>1500*2</f>
        <v>3000</v>
      </c>
      <c r="O7" s="26">
        <f>C7+D7+E7+F7+G7+H7+I7+J7+K7+L7+M7+N7</f>
        <v>3000</v>
      </c>
      <c r="P7" s="22"/>
      <c r="Q7" s="73" t="s">
        <v>86</v>
      </c>
      <c r="R7" s="21"/>
      <c r="S7" s="22"/>
      <c r="T7" s="5"/>
      <c r="U7" s="5"/>
      <c r="V7" s="5"/>
      <c r="W7" s="5"/>
      <c r="X7" s="5"/>
      <c r="Y7" s="5"/>
      <c r="Z7" s="5"/>
    </row>
    <row r="8" spans="1:26" s="4" customFormat="1" ht="21" customHeight="1">
      <c r="A8" s="53"/>
      <c r="B8" s="46" t="s">
        <v>23</v>
      </c>
      <c r="C8" s="33"/>
      <c r="D8" s="30">
        <f>48.52+703.54+1237.26+5337.2</f>
        <v>7326.5199999999995</v>
      </c>
      <c r="E8" s="33">
        <f>48.52+703.54+1237.26+5337.2</f>
        <v>7326.5199999999995</v>
      </c>
      <c r="F8" s="33">
        <f>48.52+703.54+1237.26+5337.2</f>
        <v>7326.5199999999995</v>
      </c>
      <c r="G8" s="33">
        <f>48.52+703.54+1237.26+5337.2</f>
        <v>7326.5199999999995</v>
      </c>
      <c r="H8" s="33">
        <f>101.74+1475.23+2594.36+5012.69</f>
        <v>9184.02</v>
      </c>
      <c r="I8" s="34">
        <f>62.21+902.05+1586.37+13944.09</f>
        <v>16494.72</v>
      </c>
      <c r="J8" s="34"/>
      <c r="K8" s="34">
        <f>79.71+1155.82+2032.65+117.99</f>
        <v>3386.17</v>
      </c>
      <c r="L8" s="34">
        <f>48.52+703.54+1237.26+4542.19</f>
        <v>6531.509999999999</v>
      </c>
      <c r="M8" s="34">
        <f>48.52+703.54+1237.26+2466.68</f>
        <v>4456</v>
      </c>
      <c r="N8" s="34">
        <f>54.52+790.53+1390.25+16455.3</f>
        <v>18690.6</v>
      </c>
      <c r="O8" s="32">
        <f>C8+D8+E8+F8+G8+H8+I8+J8+K8+L8+M8+N8</f>
        <v>88049.1</v>
      </c>
      <c r="P8" s="22"/>
      <c r="Q8" s="72" t="s">
        <v>23</v>
      </c>
      <c r="R8" s="21"/>
      <c r="S8" s="22"/>
      <c r="T8" s="5"/>
      <c r="U8" s="5"/>
      <c r="V8" s="5"/>
      <c r="W8" s="5"/>
      <c r="X8" s="5"/>
      <c r="Y8" s="5"/>
      <c r="Z8" s="5"/>
    </row>
    <row r="9" spans="1:26" s="4" customFormat="1" ht="42.75" customHeight="1">
      <c r="A9" s="53"/>
      <c r="B9" s="47" t="s">
        <v>29</v>
      </c>
      <c r="C9" s="30">
        <f aca="true" t="shared" si="1" ref="C9:O9">C5+C8</f>
        <v>12000</v>
      </c>
      <c r="D9" s="30">
        <f t="shared" si="1"/>
        <v>31699.999999999996</v>
      </c>
      <c r="E9" s="30">
        <f t="shared" si="1"/>
        <v>31699.999999999996</v>
      </c>
      <c r="F9" s="30">
        <f t="shared" si="1"/>
        <v>31700</v>
      </c>
      <c r="G9" s="30">
        <f t="shared" si="1"/>
        <v>31699.999999999996</v>
      </c>
      <c r="H9" s="30">
        <f t="shared" si="1"/>
        <v>47600</v>
      </c>
      <c r="I9" s="30">
        <f t="shared" si="1"/>
        <v>47600</v>
      </c>
      <c r="J9" s="30">
        <f t="shared" si="1"/>
        <v>8000</v>
      </c>
      <c r="K9" s="30">
        <f t="shared" si="1"/>
        <v>25000</v>
      </c>
      <c r="L9" s="30">
        <f t="shared" si="1"/>
        <v>32299.999999999996</v>
      </c>
      <c r="M9" s="30">
        <f t="shared" si="1"/>
        <v>32300</v>
      </c>
      <c r="N9" s="30">
        <f t="shared" si="1"/>
        <v>51100</v>
      </c>
      <c r="O9" s="30">
        <f t="shared" si="1"/>
        <v>382700</v>
      </c>
      <c r="P9" s="22"/>
      <c r="Q9" s="73" t="s">
        <v>29</v>
      </c>
      <c r="R9" s="21"/>
      <c r="S9" s="22"/>
      <c r="T9" s="5"/>
      <c r="U9" s="5"/>
      <c r="V9" s="5"/>
      <c r="W9" s="5"/>
      <c r="X9" s="5"/>
      <c r="Y9" s="5"/>
      <c r="Z9" s="5"/>
    </row>
    <row r="10" spans="1:26" s="4" customFormat="1" ht="33" customHeight="1">
      <c r="A10" s="53"/>
      <c r="B10" s="48" t="s">
        <v>26</v>
      </c>
      <c r="C10" s="36">
        <f>C4-C9</f>
        <v>0</v>
      </c>
      <c r="D10" s="36">
        <f>C10+D4-D9</f>
        <v>0</v>
      </c>
      <c r="E10" s="36">
        <f aca="true" t="shared" si="2" ref="E10:K10">D10+E4-E9</f>
        <v>0</v>
      </c>
      <c r="F10" s="36">
        <f t="shared" si="2"/>
        <v>19700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>K10+L4-L9</f>
        <v>0</v>
      </c>
      <c r="M10" s="36">
        <f>L10+M4-M9</f>
        <v>0</v>
      </c>
      <c r="N10" s="36">
        <f>M10+N4-N9</f>
        <v>0</v>
      </c>
      <c r="O10" s="36">
        <f>O4-O5-O8</f>
        <v>0</v>
      </c>
      <c r="P10" s="22"/>
      <c r="Q10" s="74" t="s">
        <v>26</v>
      </c>
      <c r="R10" s="21"/>
      <c r="S10" s="22"/>
      <c r="T10" s="5"/>
      <c r="U10" s="5"/>
      <c r="V10" s="5"/>
      <c r="W10" s="5"/>
      <c r="X10" s="5"/>
      <c r="Y10" s="5"/>
      <c r="Z10" s="5"/>
    </row>
    <row r="11" spans="1:26" s="4" customFormat="1" ht="18" customHeight="1">
      <c r="A11" s="53"/>
      <c r="B11" s="4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2"/>
      <c r="Q11" s="75"/>
      <c r="R11" s="21"/>
      <c r="S11" s="22"/>
      <c r="T11" s="5"/>
      <c r="U11" s="5"/>
      <c r="V11" s="5"/>
      <c r="W11" s="5"/>
      <c r="X11" s="5"/>
      <c r="Y11" s="5"/>
      <c r="Z11" s="5"/>
    </row>
    <row r="12" spans="1:26" s="4" customFormat="1" ht="41.25" customHeight="1">
      <c r="A12" s="54">
        <v>2</v>
      </c>
      <c r="B12" s="45" t="s">
        <v>27</v>
      </c>
      <c r="C12" s="15">
        <v>34069.24</v>
      </c>
      <c r="D12" s="15">
        <f>28198.42</f>
        <v>28198.42</v>
      </c>
      <c r="E12" s="15">
        <f>44315.94</f>
        <v>44315.94</v>
      </c>
      <c r="F12" s="15">
        <v>58900</v>
      </c>
      <c r="G12" s="15">
        <v>35090</v>
      </c>
      <c r="H12" s="15">
        <v>7842.85</v>
      </c>
      <c r="I12" s="16">
        <v>4551</v>
      </c>
      <c r="J12" s="16">
        <v>0</v>
      </c>
      <c r="K12" s="16">
        <v>32889.7</v>
      </c>
      <c r="L12" s="16">
        <v>43553.15</v>
      </c>
      <c r="M12" s="16">
        <f>27700</f>
        <v>27700</v>
      </c>
      <c r="N12" s="16">
        <v>185289.7</v>
      </c>
      <c r="O12" s="17">
        <f>SUM(C12:N12)</f>
        <v>502400.00000000006</v>
      </c>
      <c r="P12" s="22"/>
      <c r="Q12" s="71" t="s">
        <v>27</v>
      </c>
      <c r="R12" s="21"/>
      <c r="S12" s="22"/>
      <c r="T12" s="5"/>
      <c r="U12" s="5"/>
      <c r="V12" s="5"/>
      <c r="W12" s="5"/>
      <c r="X12" s="5"/>
      <c r="Y12" s="5"/>
      <c r="Z12" s="5"/>
    </row>
    <row r="13" spans="1:26" s="4" customFormat="1" ht="41.25" customHeight="1">
      <c r="A13" s="54"/>
      <c r="B13" s="51" t="s">
        <v>48</v>
      </c>
      <c r="C13" s="7"/>
      <c r="D13" s="7"/>
      <c r="E13" s="7"/>
      <c r="F13" s="7"/>
      <c r="G13" s="7"/>
      <c r="H13" s="7">
        <v>5312.85</v>
      </c>
      <c r="I13" s="7"/>
      <c r="J13" s="7"/>
      <c r="K13" s="7"/>
      <c r="L13" s="7"/>
      <c r="M13" s="7"/>
      <c r="N13" s="7"/>
      <c r="O13" s="17">
        <f>SUM(C13:N13)</f>
        <v>5312.85</v>
      </c>
      <c r="P13" s="22"/>
      <c r="Q13" s="76" t="s">
        <v>48</v>
      </c>
      <c r="R13" s="21"/>
      <c r="S13" s="22"/>
      <c r="T13" s="5"/>
      <c r="U13" s="5"/>
      <c r="V13" s="5"/>
      <c r="W13" s="5"/>
      <c r="X13" s="5"/>
      <c r="Y13" s="5"/>
      <c r="Z13" s="5"/>
    </row>
    <row r="14" spans="1:26" s="4" customFormat="1" ht="41.25" customHeight="1">
      <c r="A14" s="54"/>
      <c r="B14" s="51" t="s">
        <v>59</v>
      </c>
      <c r="C14" s="7"/>
      <c r="D14" s="7"/>
      <c r="E14" s="7">
        <v>820</v>
      </c>
      <c r="F14" s="7"/>
      <c r="G14" s="7"/>
      <c r="H14" s="7"/>
      <c r="I14" s="7">
        <f>900+3651</f>
        <v>4551</v>
      </c>
      <c r="J14" s="7"/>
      <c r="K14" s="7"/>
      <c r="L14" s="7"/>
      <c r="M14" s="7"/>
      <c r="N14" s="7"/>
      <c r="O14" s="17">
        <f>SUM(C14:N14)</f>
        <v>5371</v>
      </c>
      <c r="P14" s="22"/>
      <c r="Q14" s="76" t="s">
        <v>59</v>
      </c>
      <c r="R14" s="21"/>
      <c r="S14" s="22"/>
      <c r="T14" s="5"/>
      <c r="U14" s="5"/>
      <c r="V14" s="5"/>
      <c r="W14" s="5"/>
      <c r="X14" s="5"/>
      <c r="Y14" s="5"/>
      <c r="Z14" s="5"/>
    </row>
    <row r="15" spans="1:26" s="4" customFormat="1" ht="41.25" customHeight="1">
      <c r="A15" s="54"/>
      <c r="B15" s="67" t="s">
        <v>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>
        <f>7050</f>
        <v>7050</v>
      </c>
      <c r="O15" s="17">
        <f>SUM(C15:N15)</f>
        <v>7050</v>
      </c>
      <c r="P15" s="22"/>
      <c r="Q15" s="77" t="s">
        <v>85</v>
      </c>
      <c r="R15" s="21"/>
      <c r="S15" s="22"/>
      <c r="T15" s="5"/>
      <c r="U15" s="5"/>
      <c r="V15" s="5"/>
      <c r="W15" s="5"/>
      <c r="X15" s="5"/>
      <c r="Y15" s="5"/>
      <c r="Z15" s="5"/>
    </row>
    <row r="16" spans="1:26" s="8" customFormat="1" ht="34.5" customHeight="1">
      <c r="A16" s="56"/>
      <c r="B16" s="50" t="s">
        <v>0</v>
      </c>
      <c r="C16" s="38">
        <f>C17+C18+C20+C21</f>
        <v>34069.24</v>
      </c>
      <c r="D16" s="38">
        <f aca="true" t="shared" si="3" ref="D16:M16">D17+D18+D20+D21</f>
        <v>28198.42</v>
      </c>
      <c r="E16" s="38">
        <f t="shared" si="3"/>
        <v>43495.94</v>
      </c>
      <c r="F16" s="38">
        <f t="shared" si="3"/>
        <v>58900</v>
      </c>
      <c r="G16" s="38">
        <f t="shared" si="3"/>
        <v>35090</v>
      </c>
      <c r="H16" s="38">
        <f t="shared" si="3"/>
        <v>2530</v>
      </c>
      <c r="I16" s="38">
        <f t="shared" si="3"/>
        <v>0</v>
      </c>
      <c r="J16" s="38">
        <f t="shared" si="3"/>
        <v>0</v>
      </c>
      <c r="K16" s="38">
        <f t="shared" si="3"/>
        <v>16647.5</v>
      </c>
      <c r="L16" s="38">
        <f t="shared" si="3"/>
        <v>59795.350000000006</v>
      </c>
      <c r="M16" s="38">
        <f t="shared" si="3"/>
        <v>27700</v>
      </c>
      <c r="N16" s="38">
        <f>N17+N18+N19+N20+N21</f>
        <v>178239.7</v>
      </c>
      <c r="O16" s="38">
        <f>O17+O18+O19+O20+O21</f>
        <v>484666.15</v>
      </c>
      <c r="P16" s="1"/>
      <c r="Q16" s="78" t="s"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55"/>
      <c r="B17" s="51" t="s">
        <v>4</v>
      </c>
      <c r="C17" s="7">
        <f>34069.24-9077.4</f>
        <v>24991.839999999997</v>
      </c>
      <c r="D17" s="7">
        <v>28198.42</v>
      </c>
      <c r="E17" s="7">
        <v>36263.54</v>
      </c>
      <c r="F17" s="7">
        <v>58900</v>
      </c>
      <c r="G17" s="7">
        <f>35090</f>
        <v>35090</v>
      </c>
      <c r="H17" s="7">
        <f>660+1870</f>
        <v>2530</v>
      </c>
      <c r="I17" s="7"/>
      <c r="J17" s="7"/>
      <c r="K17" s="7">
        <f>16647.5-7380</f>
        <v>9267.5</v>
      </c>
      <c r="L17" s="7">
        <f>43553.15+16242.2</f>
        <v>59795.350000000006</v>
      </c>
      <c r="M17" s="7">
        <v>27700</v>
      </c>
      <c r="N17" s="7">
        <f>1080+1815.1+1305+3496.5+840+195+12449.8+5901.2+6801.2+6829.9+7556.5+1800+2808+7394.22+6380.2+1272+31505.4</f>
        <v>99430.02000000002</v>
      </c>
      <c r="O17" s="11">
        <f>C17+D17+E17+F17+G17+H17+I17+J17+K17+L17+M17+N17</f>
        <v>382166.67000000004</v>
      </c>
      <c r="P17" s="1"/>
      <c r="Q17" s="76" t="s">
        <v>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55"/>
      <c r="B18" s="51" t="s">
        <v>58</v>
      </c>
      <c r="C18" s="7"/>
      <c r="D18" s="7"/>
      <c r="E18" s="7"/>
      <c r="F18" s="7"/>
      <c r="G18" s="7"/>
      <c r="H18" s="7"/>
      <c r="I18" s="7"/>
      <c r="J18" s="7"/>
      <c r="K18" s="7"/>
      <c r="L18" s="68"/>
      <c r="M18" s="7"/>
      <c r="N18" s="7">
        <v>27870</v>
      </c>
      <c r="O18" s="11">
        <f>C18+D18+E18+F18+G18+H18+I18+J18+K18+L18+M18+N18</f>
        <v>27870</v>
      </c>
      <c r="P18" s="1"/>
      <c r="Q18" s="76" t="s">
        <v>58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55"/>
      <c r="B19" s="51" t="s">
        <v>84</v>
      </c>
      <c r="C19" s="7"/>
      <c r="D19" s="7"/>
      <c r="E19" s="7"/>
      <c r="F19" s="7"/>
      <c r="G19" s="7"/>
      <c r="H19" s="7"/>
      <c r="I19" s="7"/>
      <c r="J19" s="7"/>
      <c r="K19" s="7"/>
      <c r="L19" s="68"/>
      <c r="M19" s="7"/>
      <c r="N19" s="7">
        <v>11351</v>
      </c>
      <c r="O19" s="11">
        <f>C19+D19+E19+F19+G19+H19+I19+J19+K19+L19+M19+N19</f>
        <v>11351</v>
      </c>
      <c r="P19" s="1"/>
      <c r="Q19" s="76" t="s">
        <v>84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55"/>
      <c r="B20" s="51" t="s">
        <v>54</v>
      </c>
      <c r="C20" s="7"/>
      <c r="D20" s="7"/>
      <c r="E20" s="7"/>
      <c r="F20" s="7"/>
      <c r="G20" s="7"/>
      <c r="H20" s="7"/>
      <c r="I20" s="7"/>
      <c r="J20" s="7"/>
      <c r="K20" s="7"/>
      <c r="L20" s="68"/>
      <c r="M20" s="7"/>
      <c r="N20" s="7">
        <f>18120+14752.88</f>
        <v>32872.88</v>
      </c>
      <c r="O20" s="11">
        <f>C20+D20+E20+F20+G20+H20+I20+J20+K20+L20+M20+N20</f>
        <v>32872.88</v>
      </c>
      <c r="P20" s="1"/>
      <c r="Q20" s="76" t="s">
        <v>54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35.25" customHeight="1">
      <c r="A21" s="55"/>
      <c r="B21" s="51" t="s">
        <v>20</v>
      </c>
      <c r="C21" s="7">
        <v>9077.4</v>
      </c>
      <c r="D21" s="7"/>
      <c r="E21" s="7">
        <v>7232.4</v>
      </c>
      <c r="F21" s="7"/>
      <c r="G21" s="7"/>
      <c r="H21" s="7"/>
      <c r="I21" s="7"/>
      <c r="J21" s="7"/>
      <c r="K21" s="7">
        <v>7380</v>
      </c>
      <c r="L21" s="7"/>
      <c r="M21" s="7"/>
      <c r="N21" s="7">
        <v>6715.8</v>
      </c>
      <c r="O21" s="11">
        <f>C21+D21+E21+F21+G21+H21+I21+J21+K21+L21+M21+N21</f>
        <v>30405.6</v>
      </c>
      <c r="P21" s="1"/>
      <c r="Q21" s="76" t="s">
        <v>20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>
      <c r="A22" s="55"/>
      <c r="B22" s="51" t="s">
        <v>66</v>
      </c>
      <c r="C22" s="7">
        <f>C13+C14+C15+C16</f>
        <v>34069.24</v>
      </c>
      <c r="D22" s="7">
        <f aca="true" t="shared" si="4" ref="D22:N22">D13+D14+D15+D16</f>
        <v>28198.42</v>
      </c>
      <c r="E22" s="7">
        <f t="shared" si="4"/>
        <v>44315.94</v>
      </c>
      <c r="F22" s="7">
        <f t="shared" si="4"/>
        <v>58900</v>
      </c>
      <c r="G22" s="7">
        <f t="shared" si="4"/>
        <v>35090</v>
      </c>
      <c r="H22" s="7">
        <f t="shared" si="4"/>
        <v>7842.85</v>
      </c>
      <c r="I22" s="7">
        <f t="shared" si="4"/>
        <v>4551</v>
      </c>
      <c r="J22" s="7">
        <f t="shared" si="4"/>
        <v>0</v>
      </c>
      <c r="K22" s="7">
        <f t="shared" si="4"/>
        <v>16647.5</v>
      </c>
      <c r="L22" s="7">
        <f t="shared" si="4"/>
        <v>59795.350000000006</v>
      </c>
      <c r="M22" s="7">
        <f t="shared" si="4"/>
        <v>27700</v>
      </c>
      <c r="N22" s="7">
        <f t="shared" si="4"/>
        <v>185289.7</v>
      </c>
      <c r="O22" s="7">
        <f>O13+O14+O15+O16</f>
        <v>502400</v>
      </c>
      <c r="P22" s="1"/>
      <c r="Q22" s="76" t="s">
        <v>66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s="8" customFormat="1" ht="34.5" customHeight="1">
      <c r="A23" s="56"/>
      <c r="B23" s="48" t="s">
        <v>28</v>
      </c>
      <c r="C23" s="37">
        <f>C12-C16</f>
        <v>0</v>
      </c>
      <c r="D23" s="37">
        <f>C23+D12-D16</f>
        <v>0</v>
      </c>
      <c r="E23" s="37">
        <f>D23+E12-E16-E13-E14</f>
        <v>0</v>
      </c>
      <c r="F23" s="37">
        <f>E23+F12-F16-F14</f>
        <v>0</v>
      </c>
      <c r="G23" s="37">
        <f>F23+G12-G16</f>
        <v>0</v>
      </c>
      <c r="H23" s="37">
        <f aca="true" t="shared" si="5" ref="H23:M23">G23+H12-H16-H13-H14</f>
        <v>0</v>
      </c>
      <c r="I23" s="37">
        <f t="shared" si="5"/>
        <v>0</v>
      </c>
      <c r="J23" s="37">
        <f t="shared" si="5"/>
        <v>0</v>
      </c>
      <c r="K23" s="37">
        <f t="shared" si="5"/>
        <v>16242.199999999997</v>
      </c>
      <c r="L23" s="37">
        <f>K23+L12-L16-L13-L14-L15</f>
        <v>-7.275957614183426E-12</v>
      </c>
      <c r="M23" s="37">
        <f t="shared" si="5"/>
        <v>-7.275957614183426E-12</v>
      </c>
      <c r="N23" s="37">
        <f>M23+N12-N16-N13-N14-N15</f>
        <v>0</v>
      </c>
      <c r="O23" s="37">
        <f>O12-O16-O13-O14-O15</f>
        <v>3.456079866737127E-11</v>
      </c>
      <c r="P23" s="18"/>
      <c r="Q23" s="74" t="s">
        <v>28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s="8" customFormat="1" ht="18">
      <c r="A24" s="56"/>
      <c r="B24" s="4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18"/>
      <c r="Q24" s="75"/>
      <c r="R24" s="1"/>
      <c r="S24" s="1"/>
      <c r="T24" s="1"/>
      <c r="U24" s="1"/>
      <c r="V24" s="1"/>
      <c r="W24" s="1"/>
      <c r="X24" s="1"/>
      <c r="Y24" s="1"/>
      <c r="Z24" s="1"/>
    </row>
    <row r="25" spans="1:26" s="8" customFormat="1" ht="18">
      <c r="A25" s="54">
        <v>3</v>
      </c>
      <c r="B25" s="45" t="s">
        <v>37</v>
      </c>
      <c r="C25" s="9">
        <v>9000</v>
      </c>
      <c r="D25" s="9">
        <v>23700</v>
      </c>
      <c r="E25" s="9">
        <v>23700</v>
      </c>
      <c r="F25" s="9">
        <f>38400</f>
        <v>38400</v>
      </c>
      <c r="G25" s="9">
        <v>9000</v>
      </c>
      <c r="H25" s="9">
        <f>23700</f>
        <v>23700</v>
      </c>
      <c r="I25" s="9">
        <f>54900</f>
        <v>54900</v>
      </c>
      <c r="J25" s="9">
        <v>3000</v>
      </c>
      <c r="K25" s="9">
        <v>15000</v>
      </c>
      <c r="L25" s="9">
        <v>26000</v>
      </c>
      <c r="M25" s="9">
        <f>26000</f>
        <v>26000</v>
      </c>
      <c r="N25" s="9">
        <v>33900</v>
      </c>
      <c r="O25" s="10">
        <f>SUM(C25:N25)</f>
        <v>286300</v>
      </c>
      <c r="P25" s="18"/>
      <c r="Q25" s="71" t="s">
        <v>37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s="8" customFormat="1" ht="18">
      <c r="A26" s="53"/>
      <c r="B26" s="46" t="s">
        <v>22</v>
      </c>
      <c r="C26" s="31">
        <f>C27+C28</f>
        <v>9000</v>
      </c>
      <c r="D26" s="31">
        <f aca="true" t="shared" si="6" ref="D26:M26">D27+D28</f>
        <v>18202.1</v>
      </c>
      <c r="E26" s="31">
        <f t="shared" si="6"/>
        <v>18208.12</v>
      </c>
      <c r="F26" s="31">
        <f t="shared" si="6"/>
        <v>18205.1</v>
      </c>
      <c r="G26" s="31">
        <f t="shared" si="6"/>
        <v>18205.12</v>
      </c>
      <c r="H26" s="31">
        <f t="shared" si="6"/>
        <v>22619.559999999998</v>
      </c>
      <c r="I26" s="31">
        <f t="shared" si="6"/>
        <v>36357.28</v>
      </c>
      <c r="J26" s="31">
        <f t="shared" si="6"/>
        <v>3000</v>
      </c>
      <c r="K26" s="31">
        <f t="shared" si="6"/>
        <v>10273.88</v>
      </c>
      <c r="L26" s="31">
        <f t="shared" si="6"/>
        <v>21703.489999999998</v>
      </c>
      <c r="M26" s="31">
        <f t="shared" si="6"/>
        <v>23206.3</v>
      </c>
      <c r="N26" s="31">
        <f>N27+N28</f>
        <v>21294.899999999998</v>
      </c>
      <c r="O26" s="32">
        <f>C26+D26+E26+F26+G26+H26+I26+J26+K26+L26+M26+N26</f>
        <v>220275.84999999998</v>
      </c>
      <c r="P26" s="18"/>
      <c r="Q26" s="72" t="s">
        <v>22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s="8" customFormat="1" ht="18">
      <c r="A27" s="53"/>
      <c r="B27" s="47" t="s">
        <v>21</v>
      </c>
      <c r="C27" s="27">
        <v>9000</v>
      </c>
      <c r="D27" s="28">
        <f>6708.7+9007.1+2365+121.3</f>
        <v>18202.1</v>
      </c>
      <c r="E27" s="28">
        <f>6701.6+9020.22+2365+121.3</f>
        <v>18208.12</v>
      </c>
      <c r="F27" s="28">
        <f>6688.48+9030.32+2365+121.3</f>
        <v>18205.1</v>
      </c>
      <c r="G27" s="28">
        <f>6678.38+9040.44+2365+121.3</f>
        <v>18205.12</v>
      </c>
      <c r="H27" s="28">
        <f>6668.26+15708.7+242.6</f>
        <v>22619.559999999998</v>
      </c>
      <c r="I27" s="29">
        <f>27304.43+8842+210.85</f>
        <v>36357.28</v>
      </c>
      <c r="J27" s="29">
        <v>3000</v>
      </c>
      <c r="K27" s="29">
        <f>979.42+9097.5+41+155.96</f>
        <v>10273.88</v>
      </c>
      <c r="L27" s="29">
        <f>7119.69+9097.5+3000+2365+121.3</f>
        <v>21703.489999999998</v>
      </c>
      <c r="M27" s="29">
        <f>6611.2+14108.8+2365+121.3</f>
        <v>23206.3</v>
      </c>
      <c r="N27" s="29">
        <f>1599.9+9097.5+7901.2-N28+136.3+2560</f>
        <v>19794.899999999998</v>
      </c>
      <c r="O27" s="26">
        <f>C27+D27+E27+F27+G27+H27+I27+J27+K27+L27+M27+N27</f>
        <v>218775.84999999998</v>
      </c>
      <c r="P27" s="18"/>
      <c r="Q27" s="73" t="s">
        <v>21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s="8" customFormat="1" ht="18">
      <c r="A28" s="53"/>
      <c r="B28" s="47" t="s">
        <v>86</v>
      </c>
      <c r="C28" s="27"/>
      <c r="D28" s="28"/>
      <c r="E28" s="28"/>
      <c r="F28" s="28"/>
      <c r="G28" s="28"/>
      <c r="H28" s="28"/>
      <c r="I28" s="29"/>
      <c r="J28" s="29"/>
      <c r="K28" s="29"/>
      <c r="L28" s="29"/>
      <c r="M28" s="29"/>
      <c r="N28" s="29">
        <v>1500</v>
      </c>
      <c r="O28" s="26">
        <f>C28+D28+E28+F28+G28+H28+I28+J28+K28+L28+M28+N28</f>
        <v>1500</v>
      </c>
      <c r="P28" s="18"/>
      <c r="Q28" s="73" t="s">
        <v>86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s="8" customFormat="1" ht="18">
      <c r="A29" s="53"/>
      <c r="B29" s="46" t="s">
        <v>23</v>
      </c>
      <c r="C29" s="33"/>
      <c r="D29" s="33">
        <f>39.39+527.66+927.95+4002.9</f>
        <v>5497.9</v>
      </c>
      <c r="E29" s="33">
        <f>33.39+527.65+927.94+4002.9</f>
        <v>5491.88</v>
      </c>
      <c r="F29" s="33">
        <f>36.39+527.66+927.95+4002.9</f>
        <v>5494.9</v>
      </c>
      <c r="G29" s="33">
        <f>36.39+527.65+927.94+4002.9</f>
        <v>5494.88</v>
      </c>
      <c r="H29" s="33">
        <f>72.78+1007.66</f>
        <v>1080.44</v>
      </c>
      <c r="I29" s="34">
        <f>63.25+964.84+3468.88+14045.75</f>
        <v>18542.72</v>
      </c>
      <c r="J29" s="34"/>
      <c r="K29" s="34">
        <f>46.79+438.41+36.28+64.64</f>
        <v>586.12</v>
      </c>
      <c r="L29" s="34">
        <f>36.39+527.66+1220.74+5547.72+240+864</f>
        <v>8436.51</v>
      </c>
      <c r="M29" s="34">
        <f>36.39+527.65+927.94+1301.72</f>
        <v>2793.7</v>
      </c>
      <c r="N29" s="34">
        <f>39.39+571.21+1004.5+10990</f>
        <v>12605.1</v>
      </c>
      <c r="O29" s="32">
        <f>C29+D29+E29+F29+G29+H29+I29+J29+K29+L29+M29+N29</f>
        <v>66024.15000000001</v>
      </c>
      <c r="P29" s="18"/>
      <c r="Q29" s="72" t="s">
        <v>23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s="8" customFormat="1" ht="36">
      <c r="A30" s="53"/>
      <c r="B30" s="47" t="s">
        <v>29</v>
      </c>
      <c r="C30" s="30">
        <f>C26+C29</f>
        <v>9000</v>
      </c>
      <c r="D30" s="30">
        <f aca="true" t="shared" si="7" ref="D30:O30">D26+D29</f>
        <v>23700</v>
      </c>
      <c r="E30" s="30">
        <f t="shared" si="7"/>
        <v>23700</v>
      </c>
      <c r="F30" s="30">
        <f t="shared" si="7"/>
        <v>23700</v>
      </c>
      <c r="G30" s="30">
        <f t="shared" si="7"/>
        <v>23700</v>
      </c>
      <c r="H30" s="30">
        <f t="shared" si="7"/>
        <v>23699.999999999996</v>
      </c>
      <c r="I30" s="30">
        <f t="shared" si="7"/>
        <v>54900</v>
      </c>
      <c r="J30" s="30">
        <f t="shared" si="7"/>
        <v>3000</v>
      </c>
      <c r="K30" s="30">
        <f t="shared" si="7"/>
        <v>10860</v>
      </c>
      <c r="L30" s="30">
        <f t="shared" si="7"/>
        <v>30140</v>
      </c>
      <c r="M30" s="30">
        <f t="shared" si="7"/>
        <v>26000</v>
      </c>
      <c r="N30" s="30">
        <f t="shared" si="7"/>
        <v>33900</v>
      </c>
      <c r="O30" s="30">
        <f t="shared" si="7"/>
        <v>286300</v>
      </c>
      <c r="P30" s="18"/>
      <c r="Q30" s="73" t="s">
        <v>29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s="8" customFormat="1" ht="18">
      <c r="A31" s="53"/>
      <c r="B31" s="48" t="s">
        <v>26</v>
      </c>
      <c r="C31" s="36">
        <f>C25-C30</f>
        <v>0</v>
      </c>
      <c r="D31" s="36">
        <f aca="true" t="shared" si="8" ref="D31:N31">C31+D25-D30</f>
        <v>0</v>
      </c>
      <c r="E31" s="36">
        <f t="shared" si="8"/>
        <v>0</v>
      </c>
      <c r="F31" s="36">
        <f t="shared" si="8"/>
        <v>14700</v>
      </c>
      <c r="G31" s="36">
        <f t="shared" si="8"/>
        <v>0</v>
      </c>
      <c r="H31" s="36">
        <f>G31+H25-H30</f>
        <v>0</v>
      </c>
      <c r="I31" s="36">
        <f t="shared" si="8"/>
        <v>0</v>
      </c>
      <c r="J31" s="36">
        <f t="shared" si="8"/>
        <v>0</v>
      </c>
      <c r="K31" s="36">
        <f t="shared" si="8"/>
        <v>4140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>O25-O30</f>
        <v>0</v>
      </c>
      <c r="P31" s="18"/>
      <c r="Q31" s="74" t="s">
        <v>26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s="8" customFormat="1" ht="18">
      <c r="A32" s="53"/>
      <c r="B32" s="4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8"/>
      <c r="Q32" s="75"/>
      <c r="R32" s="1"/>
      <c r="S32" s="1"/>
      <c r="T32" s="1"/>
      <c r="U32" s="1"/>
      <c r="V32" s="1"/>
      <c r="W32" s="1"/>
      <c r="X32" s="1"/>
      <c r="Y32" s="1"/>
      <c r="Z32" s="1"/>
    </row>
    <row r="33" spans="1:26" s="8" customFormat="1" ht="18">
      <c r="A33" s="54">
        <v>4</v>
      </c>
      <c r="B33" s="45" t="s">
        <v>38</v>
      </c>
      <c r="C33" s="15"/>
      <c r="D33" s="15">
        <v>13416</v>
      </c>
      <c r="E33" s="15">
        <v>32514</v>
      </c>
      <c r="F33" s="15">
        <v>30992</v>
      </c>
      <c r="G33" s="15">
        <v>2223</v>
      </c>
      <c r="H33" s="15">
        <f>1840</f>
        <v>1840</v>
      </c>
      <c r="I33" s="16">
        <f>13150</f>
        <v>13150</v>
      </c>
      <c r="J33" s="16">
        <f>37427.87</f>
        <v>37427.87</v>
      </c>
      <c r="K33" s="16">
        <v>4440</v>
      </c>
      <c r="L33" s="16">
        <v>37528</v>
      </c>
      <c r="M33" s="16">
        <v>37710</v>
      </c>
      <c r="N33" s="16">
        <v>148059.13</v>
      </c>
      <c r="O33" s="17">
        <f>SUM(C33:N33)</f>
        <v>359300</v>
      </c>
      <c r="P33" s="18"/>
      <c r="Q33" s="71" t="s">
        <v>38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s="8" customFormat="1" ht="18">
      <c r="A34" s="62"/>
      <c r="B34" s="50">
        <v>221</v>
      </c>
      <c r="C34" s="33"/>
      <c r="D34" s="33"/>
      <c r="E34" s="33"/>
      <c r="F34" s="33"/>
      <c r="G34" s="33">
        <v>1500</v>
      </c>
      <c r="H34" s="33"/>
      <c r="I34" s="34">
        <v>1500</v>
      </c>
      <c r="J34" s="34"/>
      <c r="K34" s="34"/>
      <c r="L34" s="34">
        <v>1500</v>
      </c>
      <c r="M34" s="34"/>
      <c r="N34" s="34">
        <v>1500</v>
      </c>
      <c r="O34" s="17">
        <f aca="true" t="shared" si="9" ref="O34:O44">SUM(C34:N34)</f>
        <v>6000</v>
      </c>
      <c r="P34" s="18"/>
      <c r="Q34" s="78">
        <v>221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s="8" customFormat="1" ht="18">
      <c r="A35" s="62"/>
      <c r="B35" s="50">
        <v>225</v>
      </c>
      <c r="C35" s="33">
        <f>C36+C37</f>
        <v>0</v>
      </c>
      <c r="D35" s="33">
        <f aca="true" t="shared" si="10" ref="D35:I35">D36+D37</f>
        <v>0</v>
      </c>
      <c r="E35" s="33">
        <f t="shared" si="10"/>
        <v>0</v>
      </c>
      <c r="F35" s="33">
        <f>F36+F37</f>
        <v>4290</v>
      </c>
      <c r="G35" s="33">
        <f>G36+G37</f>
        <v>723</v>
      </c>
      <c r="H35" s="33">
        <f>H36+H37</f>
        <v>0</v>
      </c>
      <c r="I35" s="33">
        <f t="shared" si="10"/>
        <v>0</v>
      </c>
      <c r="J35" s="33">
        <f aca="true" t="shared" si="11" ref="J35:O35">J36+J37</f>
        <v>0</v>
      </c>
      <c r="K35" s="33">
        <f t="shared" si="11"/>
        <v>0</v>
      </c>
      <c r="L35" s="33">
        <f t="shared" si="11"/>
        <v>7540</v>
      </c>
      <c r="M35" s="33">
        <f t="shared" si="11"/>
        <v>0</v>
      </c>
      <c r="N35" s="33">
        <f t="shared" si="11"/>
        <v>9523</v>
      </c>
      <c r="O35" s="33">
        <f t="shared" si="11"/>
        <v>22076</v>
      </c>
      <c r="P35" s="18"/>
      <c r="Q35" s="78">
        <v>225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s="8" customFormat="1" ht="18">
      <c r="A36" s="56"/>
      <c r="B36" s="61" t="s">
        <v>51</v>
      </c>
      <c r="C36" s="30"/>
      <c r="D36" s="30"/>
      <c r="E36" s="30"/>
      <c r="F36" s="30">
        <v>4290</v>
      </c>
      <c r="G36" s="30">
        <v>723</v>
      </c>
      <c r="H36" s="30"/>
      <c r="I36" s="59"/>
      <c r="J36" s="59"/>
      <c r="K36" s="59"/>
      <c r="L36" s="59">
        <v>7540</v>
      </c>
      <c r="M36" s="59"/>
      <c r="N36" s="59">
        <v>8800</v>
      </c>
      <c r="O36" s="17">
        <f t="shared" si="9"/>
        <v>21353</v>
      </c>
      <c r="P36" s="18"/>
      <c r="Q36" s="79" t="s">
        <v>51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s="8" customFormat="1" ht="18">
      <c r="A37" s="56"/>
      <c r="B37" s="61" t="s">
        <v>57</v>
      </c>
      <c r="C37" s="30"/>
      <c r="D37" s="30"/>
      <c r="E37" s="30"/>
      <c r="F37" s="30"/>
      <c r="G37" s="30"/>
      <c r="H37" s="30"/>
      <c r="I37" s="59"/>
      <c r="J37" s="59"/>
      <c r="K37" s="59"/>
      <c r="L37" s="59"/>
      <c r="M37" s="59"/>
      <c r="N37" s="59">
        <f>723</f>
        <v>723</v>
      </c>
      <c r="O37" s="17">
        <f t="shared" si="9"/>
        <v>723</v>
      </c>
      <c r="P37" s="18"/>
      <c r="Q37" s="79" t="s">
        <v>57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s="8" customFormat="1" ht="18">
      <c r="A38" s="56"/>
      <c r="B38" s="50">
        <v>226</v>
      </c>
      <c r="C38" s="33">
        <f>C39+C40+C41+C42+C43</f>
        <v>0</v>
      </c>
      <c r="D38" s="33">
        <f aca="true" t="shared" si="12" ref="D38:O38">D39+D40+D41+D42+D43</f>
        <v>2560</v>
      </c>
      <c r="E38" s="33">
        <f t="shared" si="12"/>
        <v>7720</v>
      </c>
      <c r="F38" s="33">
        <f t="shared" si="12"/>
        <v>2400</v>
      </c>
      <c r="G38" s="33">
        <f t="shared" si="12"/>
        <v>0</v>
      </c>
      <c r="H38" s="33">
        <f t="shared" si="12"/>
        <v>0</v>
      </c>
      <c r="I38" s="33">
        <f>I39+I40+I41+I42+I43</f>
        <v>6005.87</v>
      </c>
      <c r="J38" s="33">
        <f t="shared" si="12"/>
        <v>28500</v>
      </c>
      <c r="K38" s="33">
        <f t="shared" si="12"/>
        <v>300</v>
      </c>
      <c r="L38" s="33">
        <f t="shared" si="12"/>
        <v>0</v>
      </c>
      <c r="M38" s="33">
        <f t="shared" si="12"/>
        <v>5280</v>
      </c>
      <c r="N38" s="33">
        <f t="shared" si="12"/>
        <v>9280</v>
      </c>
      <c r="O38" s="33">
        <f t="shared" si="12"/>
        <v>62045.87</v>
      </c>
      <c r="P38" s="18"/>
      <c r="Q38" s="78">
        <v>226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s="8" customFormat="1" ht="18">
      <c r="A39" s="56"/>
      <c r="B39" s="61" t="s">
        <v>50</v>
      </c>
      <c r="C39" s="30"/>
      <c r="D39" s="30">
        <v>2560</v>
      </c>
      <c r="E39" s="30">
        <v>2720</v>
      </c>
      <c r="F39" s="30">
        <v>2400</v>
      </c>
      <c r="G39" s="30"/>
      <c r="H39" s="30"/>
      <c r="I39" s="59"/>
      <c r="J39" s="59"/>
      <c r="K39" s="59"/>
      <c r="L39" s="59"/>
      <c r="M39" s="59">
        <v>5280</v>
      </c>
      <c r="N39" s="59">
        <f>5920+320+3040</f>
        <v>9280</v>
      </c>
      <c r="O39" s="17">
        <f t="shared" si="9"/>
        <v>22240</v>
      </c>
      <c r="P39" s="82"/>
      <c r="Q39" s="79" t="s">
        <v>50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s="8" customFormat="1" ht="18">
      <c r="A40" s="56"/>
      <c r="B40" s="61" t="s">
        <v>76</v>
      </c>
      <c r="C40" s="30"/>
      <c r="D40" s="30"/>
      <c r="E40" s="30">
        <v>5000</v>
      </c>
      <c r="F40" s="30"/>
      <c r="G40" s="30"/>
      <c r="H40" s="30"/>
      <c r="I40" s="59"/>
      <c r="J40" s="59"/>
      <c r="K40" s="59">
        <v>300</v>
      </c>
      <c r="L40" s="59"/>
      <c r="M40" s="59"/>
      <c r="N40" s="59"/>
      <c r="O40" s="17">
        <f t="shared" si="9"/>
        <v>5300</v>
      </c>
      <c r="P40" s="82"/>
      <c r="Q40" s="79" t="s">
        <v>76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s="8" customFormat="1" ht="18">
      <c r="A41" s="56"/>
      <c r="B41" s="61" t="s">
        <v>49</v>
      </c>
      <c r="C41" s="30"/>
      <c r="D41" s="30"/>
      <c r="E41" s="30"/>
      <c r="F41" s="30"/>
      <c r="G41" s="30"/>
      <c r="H41" s="30"/>
      <c r="I41" s="59">
        <f>450+1918</f>
        <v>2368</v>
      </c>
      <c r="J41" s="59"/>
      <c r="K41" s="59"/>
      <c r="L41" s="59"/>
      <c r="M41" s="59"/>
      <c r="N41" s="59"/>
      <c r="O41" s="17">
        <f t="shared" si="9"/>
        <v>2368</v>
      </c>
      <c r="P41" s="82"/>
      <c r="Q41" s="79" t="s">
        <v>49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s="8" customFormat="1" ht="18">
      <c r="A42" s="56"/>
      <c r="B42" s="61" t="s">
        <v>52</v>
      </c>
      <c r="C42" s="30"/>
      <c r="D42" s="30"/>
      <c r="E42" s="30"/>
      <c r="F42" s="30"/>
      <c r="G42" s="30"/>
      <c r="H42" s="30"/>
      <c r="I42" s="59">
        <v>3637.87</v>
      </c>
      <c r="J42" s="59"/>
      <c r="K42" s="59"/>
      <c r="L42" s="59"/>
      <c r="M42" s="59"/>
      <c r="N42" s="59"/>
      <c r="O42" s="17">
        <f t="shared" si="9"/>
        <v>3637.87</v>
      </c>
      <c r="P42" s="82"/>
      <c r="Q42" s="79" t="s">
        <v>52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s="8" customFormat="1" ht="18">
      <c r="A43" s="56"/>
      <c r="B43" s="61" t="s">
        <v>71</v>
      </c>
      <c r="C43" s="30"/>
      <c r="D43" s="30"/>
      <c r="E43" s="30"/>
      <c r="F43" s="30"/>
      <c r="G43" s="30"/>
      <c r="H43" s="30"/>
      <c r="I43" s="59"/>
      <c r="J43" s="59">
        <f>24000+4500</f>
        <v>28500</v>
      </c>
      <c r="K43" s="59"/>
      <c r="L43" s="59"/>
      <c r="M43" s="59"/>
      <c r="N43" s="59"/>
      <c r="O43" s="17">
        <f t="shared" si="9"/>
        <v>28500</v>
      </c>
      <c r="P43" s="82"/>
      <c r="Q43" s="79" t="s">
        <v>71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s="8" customFormat="1" ht="36">
      <c r="A44" s="56"/>
      <c r="B44" s="63" t="s">
        <v>53</v>
      </c>
      <c r="C44" s="64"/>
      <c r="D44" s="64"/>
      <c r="E44" s="64"/>
      <c r="F44" s="64">
        <v>612</v>
      </c>
      <c r="G44" s="64"/>
      <c r="H44" s="64"/>
      <c r="I44" s="65">
        <f>850+612</f>
        <v>1462</v>
      </c>
      <c r="J44" s="65"/>
      <c r="K44" s="65"/>
      <c r="L44" s="65">
        <f>612</f>
        <v>612</v>
      </c>
      <c r="M44" s="65"/>
      <c r="N44" s="65">
        <v>612</v>
      </c>
      <c r="O44" s="66">
        <f t="shared" si="9"/>
        <v>3298</v>
      </c>
      <c r="P44" s="82"/>
      <c r="Q44" s="87" t="s">
        <v>53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s="8" customFormat="1" ht="18">
      <c r="A45" s="56"/>
      <c r="B45" s="50" t="s">
        <v>0</v>
      </c>
      <c r="C45" s="38">
        <f>C46+C47</f>
        <v>0</v>
      </c>
      <c r="D45" s="38">
        <f aca="true" t="shared" si="13" ref="D45:M45">D46+D47</f>
        <v>10856</v>
      </c>
      <c r="E45" s="38">
        <f t="shared" si="13"/>
        <v>24794</v>
      </c>
      <c r="F45" s="38">
        <f t="shared" si="13"/>
        <v>23690</v>
      </c>
      <c r="G45" s="38">
        <f t="shared" si="13"/>
        <v>0</v>
      </c>
      <c r="H45" s="38">
        <f t="shared" si="13"/>
        <v>1840</v>
      </c>
      <c r="I45" s="38">
        <f t="shared" si="13"/>
        <v>3910</v>
      </c>
      <c r="J45" s="38">
        <f t="shared" si="13"/>
        <v>9200</v>
      </c>
      <c r="K45" s="38">
        <f t="shared" si="13"/>
        <v>4140</v>
      </c>
      <c r="L45" s="38">
        <f t="shared" si="13"/>
        <v>27876</v>
      </c>
      <c r="M45" s="38">
        <f t="shared" si="13"/>
        <v>32430</v>
      </c>
      <c r="N45" s="38">
        <f>N46+N47+N48</f>
        <v>127144.13</v>
      </c>
      <c r="O45" s="38">
        <f>O46+O47+O48</f>
        <v>265880.13</v>
      </c>
      <c r="P45" s="82"/>
      <c r="Q45" s="78" t="s">
        <v>0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s="8" customFormat="1" ht="18">
      <c r="A46" s="55"/>
      <c r="B46" s="51" t="s">
        <v>42</v>
      </c>
      <c r="C46" s="7"/>
      <c r="D46" s="7">
        <v>10856</v>
      </c>
      <c r="E46" s="7">
        <v>24794</v>
      </c>
      <c r="F46" s="7">
        <v>23690</v>
      </c>
      <c r="G46" s="7"/>
      <c r="H46" s="7">
        <v>1840</v>
      </c>
      <c r="I46" s="7">
        <f>3910</f>
        <v>3910</v>
      </c>
      <c r="J46" s="7">
        <v>9200</v>
      </c>
      <c r="K46" s="7">
        <v>4140</v>
      </c>
      <c r="L46" s="7">
        <v>27876</v>
      </c>
      <c r="M46" s="7">
        <v>32430</v>
      </c>
      <c r="N46" s="7">
        <f>22264+697.5+41860</f>
        <v>64821.5</v>
      </c>
      <c r="O46" s="11">
        <f>C46+D46+E46+F46+G46+H46+I46+J46+K46+L46+M46+N46</f>
        <v>203557.5</v>
      </c>
      <c r="P46" s="82"/>
      <c r="Q46" s="76" t="s">
        <v>42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s="8" customFormat="1" ht="18">
      <c r="A47" s="55"/>
      <c r="B47" s="51" t="s">
        <v>41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>51311.4+780+6741.23</f>
        <v>58832.630000000005</v>
      </c>
      <c r="O47" s="11">
        <f>C47+D47+E47+F47+G47+H47+I47+J47+K47+L47+M47+N47</f>
        <v>58832.630000000005</v>
      </c>
      <c r="P47" s="82"/>
      <c r="Q47" s="76" t="s">
        <v>41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s="8" customFormat="1" ht="18">
      <c r="A48" s="55"/>
      <c r="B48" s="51" t="s">
        <v>87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3490</v>
      </c>
      <c r="O48" s="11">
        <f>C48+D48+E48+F48+G48+H48+I48+J48+K48+L48+M48+N48</f>
        <v>3490</v>
      </c>
      <c r="P48" s="82"/>
      <c r="Q48" s="76" t="s">
        <v>87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s="8" customFormat="1" ht="18">
      <c r="A49" s="55"/>
      <c r="B49" s="47" t="s">
        <v>45</v>
      </c>
      <c r="C49" s="30">
        <f>C34+C38+C45</f>
        <v>0</v>
      </c>
      <c r="D49" s="30">
        <f>D34+D38+D45</f>
        <v>13416</v>
      </c>
      <c r="E49" s="30">
        <f>E34+E38+E45</f>
        <v>32514</v>
      </c>
      <c r="F49" s="30">
        <f>F34+F38+F45+F44+F35</f>
        <v>30992</v>
      </c>
      <c r="G49" s="30">
        <f>G34+G38+G45+G35</f>
        <v>2223</v>
      </c>
      <c r="H49" s="30">
        <f>H34+H38+H45</f>
        <v>1840</v>
      </c>
      <c r="I49" s="30">
        <f>I34+I38+I45+I36+I44</f>
        <v>12877.869999999999</v>
      </c>
      <c r="J49" s="30">
        <f>J34+J38+J45+J36+J44</f>
        <v>37700</v>
      </c>
      <c r="K49" s="30">
        <f>K34+K35+K38+K44+K45</f>
        <v>4440</v>
      </c>
      <c r="L49" s="30">
        <f>L34+L38+L45+L36+L44</f>
        <v>37528</v>
      </c>
      <c r="M49" s="30">
        <f>M34+M35+M38+M45</f>
        <v>37710</v>
      </c>
      <c r="N49" s="30">
        <f>N34+N38+N45+N36+N44</f>
        <v>147336.13</v>
      </c>
      <c r="O49" s="70">
        <f>O34+O38+O45+O44+O35</f>
        <v>359300</v>
      </c>
      <c r="P49" s="82"/>
      <c r="Q49" s="73" t="s">
        <v>45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s="8" customFormat="1" ht="18">
      <c r="A50" s="56"/>
      <c r="B50" s="48" t="s">
        <v>39</v>
      </c>
      <c r="C50" s="37">
        <f>C33-C45-C44</f>
        <v>0</v>
      </c>
      <c r="D50" s="37">
        <f>C50+D33-D45-D34-D38</f>
        <v>0</v>
      </c>
      <c r="E50" s="37">
        <f>D50+E33-E45-E34-E38-E44</f>
        <v>0</v>
      </c>
      <c r="F50" s="37">
        <f>E50+F33-F45-F34-F38-F44-F36</f>
        <v>0</v>
      </c>
      <c r="G50" s="37">
        <f>F50+G33-G45-G34-G38-G35</f>
        <v>0</v>
      </c>
      <c r="H50" s="37">
        <f>G50+H33-H35-H34-H38-H45</f>
        <v>0</v>
      </c>
      <c r="I50" s="37">
        <f>H50+I33-I49</f>
        <v>272.130000000001</v>
      </c>
      <c r="J50" s="37">
        <f>I50+J33-J45-J34-J38</f>
        <v>0</v>
      </c>
      <c r="K50" s="37">
        <f>J50+K33-K49</f>
        <v>0</v>
      </c>
      <c r="L50" s="37">
        <f>K50+L33-L45-L34-L38-L44</f>
        <v>7540</v>
      </c>
      <c r="M50" s="37">
        <f>L50+M33-M49</f>
        <v>7540</v>
      </c>
      <c r="N50" s="37">
        <f>M50+N33-N45-N34-N38-N44</f>
        <v>17063</v>
      </c>
      <c r="O50" s="37">
        <f>O33-O49</f>
        <v>0</v>
      </c>
      <c r="P50" s="82"/>
      <c r="Q50" s="74" t="s">
        <v>39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s="8" customFormat="1" ht="18" customHeight="1">
      <c r="A51" s="56"/>
      <c r="B51" s="49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82"/>
      <c r="Q51" s="75"/>
      <c r="R51" s="1"/>
      <c r="S51" s="1"/>
      <c r="T51" s="1"/>
      <c r="U51" s="1"/>
      <c r="V51" s="1"/>
      <c r="W51" s="1"/>
      <c r="X51" s="1"/>
      <c r="Y51" s="1"/>
      <c r="Z51" s="1"/>
    </row>
    <row r="52" spans="1:26" s="8" customFormat="1" ht="18" customHeight="1">
      <c r="A52" s="56"/>
      <c r="B52" s="45" t="s">
        <v>79</v>
      </c>
      <c r="C52" s="9"/>
      <c r="D52" s="9"/>
      <c r="E52" s="9"/>
      <c r="F52" s="9"/>
      <c r="G52" s="9"/>
      <c r="H52" s="30"/>
      <c r="I52" s="30"/>
      <c r="J52" s="30"/>
      <c r="K52" s="30"/>
      <c r="L52" s="30">
        <f>9858.07</f>
        <v>9858.07</v>
      </c>
      <c r="M52" s="30">
        <v>5147.08</v>
      </c>
      <c r="N52" s="30">
        <v>4146.27</v>
      </c>
      <c r="O52" s="70">
        <f>SUM(C52:N52)</f>
        <v>19151.42</v>
      </c>
      <c r="P52" s="82"/>
      <c r="Q52" s="71" t="s">
        <v>79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s="8" customFormat="1" ht="18" customHeight="1">
      <c r="A53" s="56"/>
      <c r="B53" s="46">
        <v>340</v>
      </c>
      <c r="C53" s="31"/>
      <c r="D53" s="31"/>
      <c r="E53" s="31"/>
      <c r="F53" s="31"/>
      <c r="G53" s="31"/>
      <c r="H53" s="31"/>
      <c r="I53" s="31"/>
      <c r="J53" s="31"/>
      <c r="K53" s="31"/>
      <c r="L53" s="31">
        <v>9858.07</v>
      </c>
      <c r="M53" s="31">
        <v>5147.08</v>
      </c>
      <c r="N53" s="31">
        <f>14.56+175.5+492.57+365.04+1057.41+21.84+21.84+1019.56+626.03+351.92</f>
        <v>4146.27</v>
      </c>
      <c r="O53" s="32">
        <f>C53+D53+E53+F53+G53+H53+I53+J53+K53+L53+M53+N53</f>
        <v>19151.42</v>
      </c>
      <c r="P53" s="82"/>
      <c r="Q53" s="72">
        <v>340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s="8" customFormat="1" ht="18" customHeight="1">
      <c r="A54" s="56"/>
      <c r="B54" s="47" t="s">
        <v>80</v>
      </c>
      <c r="C54" s="30">
        <f>C53</f>
        <v>0</v>
      </c>
      <c r="D54" s="30">
        <f aca="true" t="shared" si="14" ref="D54:N54">D53</f>
        <v>0</v>
      </c>
      <c r="E54" s="30">
        <f t="shared" si="14"/>
        <v>0</v>
      </c>
      <c r="F54" s="30">
        <f t="shared" si="14"/>
        <v>0</v>
      </c>
      <c r="G54" s="30">
        <f t="shared" si="14"/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30">
        <f>K54+L52-L53</f>
        <v>0</v>
      </c>
      <c r="M54" s="30">
        <f t="shared" si="14"/>
        <v>5147.08</v>
      </c>
      <c r="N54" s="30">
        <f t="shared" si="14"/>
        <v>4146.27</v>
      </c>
      <c r="O54" s="81">
        <f>O52-O53</f>
        <v>0</v>
      </c>
      <c r="P54" s="18"/>
      <c r="Q54" s="73" t="s">
        <v>80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s="8" customFormat="1" ht="18" customHeight="1">
      <c r="A55" s="56"/>
      <c r="B55" s="4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18"/>
      <c r="Q55" s="75"/>
      <c r="R55" s="1"/>
      <c r="S55" s="1"/>
      <c r="T55" s="1"/>
      <c r="U55" s="1"/>
      <c r="V55" s="1"/>
      <c r="W55" s="1"/>
      <c r="X55" s="1"/>
      <c r="Y55" s="1"/>
      <c r="Z55" s="1"/>
    </row>
    <row r="56" spans="1:26" s="8" customFormat="1" ht="18" customHeight="1">
      <c r="A56" s="56"/>
      <c r="B56" s="45" t="s">
        <v>81</v>
      </c>
      <c r="C56" s="9"/>
      <c r="D56" s="9"/>
      <c r="E56" s="9"/>
      <c r="F56" s="9"/>
      <c r="G56" s="9"/>
      <c r="H56" s="30"/>
      <c r="I56" s="30"/>
      <c r="J56" s="30"/>
      <c r="K56" s="30"/>
      <c r="L56" s="30">
        <v>65973.04</v>
      </c>
      <c r="M56" s="30">
        <v>34445.72</v>
      </c>
      <c r="N56" s="30">
        <f>27748.03</f>
        <v>27748.03</v>
      </c>
      <c r="O56" s="70">
        <f>SUM(C56:N56)</f>
        <v>128166.79</v>
      </c>
      <c r="P56" s="18"/>
      <c r="Q56" s="71" t="s">
        <v>81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s="8" customFormat="1" ht="18" customHeight="1">
      <c r="A57" s="56"/>
      <c r="B57" s="46">
        <v>340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v>65973.04</v>
      </c>
      <c r="M57" s="31">
        <v>34445.72</v>
      </c>
      <c r="N57" s="31">
        <f>97.39+1174.5+3296.43+2442.96+7076.52+146.16+146.16+6823.2+4189.58+2355.13</f>
        <v>27748.030000000002</v>
      </c>
      <c r="O57" s="32">
        <f>C57+D57+E57+F57+G57+H57+I57+J57+K57+L57+M57+N57</f>
        <v>128166.79</v>
      </c>
      <c r="P57" s="18"/>
      <c r="Q57" s="72">
        <v>340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s="8" customFormat="1" ht="18" customHeight="1">
      <c r="A58" s="56"/>
      <c r="B58" s="47" t="s">
        <v>80</v>
      </c>
      <c r="C58" s="30">
        <f>C57</f>
        <v>0</v>
      </c>
      <c r="D58" s="30">
        <f aca="true" t="shared" si="15" ref="D58:K58">D57</f>
        <v>0</v>
      </c>
      <c r="E58" s="30">
        <f t="shared" si="15"/>
        <v>0</v>
      </c>
      <c r="F58" s="30">
        <f t="shared" si="15"/>
        <v>0</v>
      </c>
      <c r="G58" s="30">
        <f t="shared" si="15"/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30">
        <f t="shared" si="15"/>
        <v>0</v>
      </c>
      <c r="L58" s="30">
        <f>K58+L56-L57</f>
        <v>0</v>
      </c>
      <c r="M58" s="30">
        <f>M57</f>
        <v>34445.72</v>
      </c>
      <c r="N58" s="30">
        <f>N57</f>
        <v>27748.030000000002</v>
      </c>
      <c r="O58" s="30">
        <f>O56-O57</f>
        <v>0</v>
      </c>
      <c r="P58" s="18"/>
      <c r="Q58" s="73" t="s">
        <v>80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s="8" customFormat="1" ht="18" customHeight="1">
      <c r="A59" s="56"/>
      <c r="B59" s="4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8"/>
      <c r="Q59" s="73"/>
      <c r="R59" s="1"/>
      <c r="S59" s="1"/>
      <c r="T59" s="1"/>
      <c r="U59" s="1"/>
      <c r="V59" s="1"/>
      <c r="W59" s="1"/>
      <c r="X59" s="1"/>
      <c r="Y59" s="1"/>
      <c r="Z59" s="1"/>
    </row>
    <row r="60" spans="1:26" s="8" customFormat="1" ht="18" customHeight="1">
      <c r="A60" s="56"/>
      <c r="B60" s="4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3"/>
      <c r="P60" s="18"/>
      <c r="Q60" s="75"/>
      <c r="R60" s="1"/>
      <c r="S60" s="1"/>
      <c r="T60" s="1"/>
      <c r="U60" s="1"/>
      <c r="V60" s="1"/>
      <c r="W60" s="1"/>
      <c r="X60" s="1"/>
      <c r="Y60" s="1"/>
      <c r="Z60" s="1"/>
    </row>
    <row r="61" spans="1:26" s="8" customFormat="1" ht="18" customHeight="1">
      <c r="A61" s="56"/>
      <c r="B61" s="45" t="s">
        <v>82</v>
      </c>
      <c r="C61" s="9"/>
      <c r="D61" s="9"/>
      <c r="E61" s="9"/>
      <c r="F61" s="9"/>
      <c r="G61" s="9"/>
      <c r="H61" s="30"/>
      <c r="I61" s="30"/>
      <c r="J61" s="30"/>
      <c r="K61" s="30"/>
      <c r="L61" s="30"/>
      <c r="M61" s="30">
        <v>100000</v>
      </c>
      <c r="N61" s="30"/>
      <c r="O61" s="70">
        <f>SUM(C61:N61)</f>
        <v>100000</v>
      </c>
      <c r="P61" s="18"/>
      <c r="Q61" s="71" t="s">
        <v>82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s="8" customFormat="1" ht="18" customHeight="1">
      <c r="A62" s="56"/>
      <c r="B62" s="46">
        <v>226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>
        <v>100000</v>
      </c>
      <c r="N62" s="31"/>
      <c r="O62" s="32">
        <f>C62+D62+E62+F62+G62+H62+I62+J62+K62+L62+M62+N62</f>
        <v>100000</v>
      </c>
      <c r="P62" s="18"/>
      <c r="Q62" s="72">
        <v>226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s="8" customFormat="1" ht="18" customHeight="1">
      <c r="A63" s="56"/>
      <c r="B63" s="47" t="s">
        <v>80</v>
      </c>
      <c r="C63" s="30">
        <f>C62</f>
        <v>0</v>
      </c>
      <c r="D63" s="30">
        <f aca="true" t="shared" si="16" ref="D63:K63">D62</f>
        <v>0</v>
      </c>
      <c r="E63" s="30">
        <f t="shared" si="16"/>
        <v>0</v>
      </c>
      <c r="F63" s="30">
        <f t="shared" si="16"/>
        <v>0</v>
      </c>
      <c r="G63" s="30">
        <f t="shared" si="16"/>
        <v>0</v>
      </c>
      <c r="H63" s="30">
        <f t="shared" si="16"/>
        <v>0</v>
      </c>
      <c r="I63" s="30">
        <f t="shared" si="16"/>
        <v>0</v>
      </c>
      <c r="J63" s="30">
        <f t="shared" si="16"/>
        <v>0</v>
      </c>
      <c r="K63" s="30">
        <f t="shared" si="16"/>
        <v>0</v>
      </c>
      <c r="L63" s="30">
        <f>K63+L61-L62</f>
        <v>0</v>
      </c>
      <c r="M63" s="30">
        <f>M62</f>
        <v>100000</v>
      </c>
      <c r="N63" s="30">
        <f>N62</f>
        <v>0</v>
      </c>
      <c r="O63" s="30">
        <f>O61-O62</f>
        <v>0</v>
      </c>
      <c r="P63" s="18"/>
      <c r="Q63" s="73" t="s">
        <v>80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s="8" customFormat="1" ht="18" customHeight="1">
      <c r="A64" s="56"/>
      <c r="B64" s="4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18"/>
      <c r="Q64" s="75"/>
      <c r="R64" s="1"/>
      <c r="S64" s="1"/>
      <c r="T64" s="1"/>
      <c r="U64" s="1"/>
      <c r="V64" s="1"/>
      <c r="W64" s="1"/>
      <c r="X64" s="1"/>
      <c r="Y64" s="1"/>
      <c r="Z64" s="1"/>
    </row>
    <row r="65" spans="1:26" s="8" customFormat="1" ht="36.75" customHeight="1">
      <c r="A65" s="54"/>
      <c r="B65" s="45" t="s">
        <v>31</v>
      </c>
      <c r="C65" s="9"/>
      <c r="D65" s="9"/>
      <c r="E65" s="9"/>
      <c r="F65" s="9"/>
      <c r="G65" s="9"/>
      <c r="H65" s="30"/>
      <c r="I65" s="30">
        <v>99318.96</v>
      </c>
      <c r="J65" s="30"/>
      <c r="K65" s="30"/>
      <c r="L65" s="30"/>
      <c r="M65" s="30"/>
      <c r="N65" s="30"/>
      <c r="O65" s="70">
        <f>SUM(C65:N65)</f>
        <v>99318.96</v>
      </c>
      <c r="P65" s="40"/>
      <c r="Q65" s="71" t="s">
        <v>31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s="8" customFormat="1" ht="27.75" customHeight="1">
      <c r="A66" s="56"/>
      <c r="B66" s="46" t="s">
        <v>22</v>
      </c>
      <c r="C66" s="31"/>
      <c r="D66" s="31"/>
      <c r="E66" s="31"/>
      <c r="F66" s="31"/>
      <c r="G66" s="31"/>
      <c r="H66" s="31"/>
      <c r="I66" s="31">
        <f>41297.22</f>
        <v>41297.22</v>
      </c>
      <c r="J66" s="31">
        <f>11715.03+13357.59+9912</f>
        <v>34984.62</v>
      </c>
      <c r="K66" s="31"/>
      <c r="L66" s="31"/>
      <c r="M66" s="31"/>
      <c r="N66" s="31"/>
      <c r="O66" s="32">
        <f>C66+D66+E66+F66+G66+H66+I66+J66+K66+L66+M66+N66</f>
        <v>76281.84</v>
      </c>
      <c r="P66" s="40"/>
      <c r="Q66" s="72" t="s">
        <v>22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s="8" customFormat="1" ht="23.25" customHeight="1">
      <c r="A67" s="56"/>
      <c r="B67" s="46" t="s">
        <v>23</v>
      </c>
      <c r="C67" s="33"/>
      <c r="D67" s="33"/>
      <c r="E67" s="33"/>
      <c r="F67" s="33"/>
      <c r="G67" s="33"/>
      <c r="H67" s="33"/>
      <c r="I67" s="34"/>
      <c r="J67" s="34">
        <f>152.58+2212.2+3890.34+16782</f>
        <v>23037.12</v>
      </c>
      <c r="K67" s="34"/>
      <c r="L67" s="34"/>
      <c r="M67" s="34"/>
      <c r="N67" s="34"/>
      <c r="O67" s="32">
        <f>C67+D67+E67+F67+G67+H67+I67+J67+K67+L67+M67+N67</f>
        <v>23037.12</v>
      </c>
      <c r="P67" s="40"/>
      <c r="Q67" s="72" t="s">
        <v>23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s="8" customFormat="1" ht="44.25" customHeight="1">
      <c r="A68" s="56"/>
      <c r="B68" s="47" t="s">
        <v>29</v>
      </c>
      <c r="C68" s="30">
        <f aca="true" t="shared" si="17" ref="C68:O68">C66+C67</f>
        <v>0</v>
      </c>
      <c r="D68" s="30">
        <f t="shared" si="17"/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  <c r="H68" s="30"/>
      <c r="I68" s="30">
        <f t="shared" si="17"/>
        <v>41297.22</v>
      </c>
      <c r="J68" s="30">
        <f t="shared" si="17"/>
        <v>58021.740000000005</v>
      </c>
      <c r="K68" s="30">
        <f t="shared" si="17"/>
        <v>0</v>
      </c>
      <c r="L68" s="30">
        <f t="shared" si="17"/>
        <v>0</v>
      </c>
      <c r="M68" s="30">
        <f t="shared" si="17"/>
        <v>0</v>
      </c>
      <c r="N68" s="30">
        <f t="shared" si="17"/>
        <v>0</v>
      </c>
      <c r="O68" s="30">
        <f t="shared" si="17"/>
        <v>99318.95999999999</v>
      </c>
      <c r="P68" s="40"/>
      <c r="Q68" s="73" t="s">
        <v>29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s="8" customFormat="1" ht="25.5" customHeight="1">
      <c r="A69" s="56"/>
      <c r="B69" s="48" t="s">
        <v>26</v>
      </c>
      <c r="C69" s="36">
        <f>C65-C68</f>
        <v>0</v>
      </c>
      <c r="D69" s="36">
        <f aca="true" t="shared" si="18" ref="D69:N69">C69+D65-D68</f>
        <v>0</v>
      </c>
      <c r="E69" s="36">
        <f t="shared" si="18"/>
        <v>0</v>
      </c>
      <c r="F69" s="36">
        <f t="shared" si="18"/>
        <v>0</v>
      </c>
      <c r="G69" s="36">
        <f t="shared" si="18"/>
        <v>0</v>
      </c>
      <c r="H69" s="36">
        <f t="shared" si="18"/>
        <v>0</v>
      </c>
      <c r="I69" s="36">
        <f t="shared" si="18"/>
        <v>58021.740000000005</v>
      </c>
      <c r="J69" s="36">
        <f t="shared" si="18"/>
        <v>0</v>
      </c>
      <c r="K69" s="36">
        <f t="shared" si="18"/>
        <v>0</v>
      </c>
      <c r="L69" s="36">
        <f t="shared" si="18"/>
        <v>0</v>
      </c>
      <c r="M69" s="36">
        <f t="shared" si="18"/>
        <v>0</v>
      </c>
      <c r="N69" s="36">
        <f t="shared" si="18"/>
        <v>0</v>
      </c>
      <c r="O69" s="36">
        <f>O65-O68</f>
        <v>0</v>
      </c>
      <c r="P69" s="40"/>
      <c r="Q69" s="74" t="s">
        <v>26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s="8" customFormat="1" ht="14.25" customHeight="1">
      <c r="A70" s="56"/>
      <c r="B70" s="49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/>
      <c r="Q70" s="75"/>
      <c r="R70" s="1"/>
      <c r="S70" s="1"/>
      <c r="T70" s="1"/>
      <c r="U70" s="1"/>
      <c r="V70" s="1"/>
      <c r="W70" s="1"/>
      <c r="X70" s="1"/>
      <c r="Y70" s="1"/>
      <c r="Z70" s="1"/>
    </row>
    <row r="71" spans="1:26" s="8" customFormat="1" ht="24" customHeight="1">
      <c r="A71" s="54"/>
      <c r="B71" s="45" t="s">
        <v>32</v>
      </c>
      <c r="C71" s="15"/>
      <c r="D71" s="15"/>
      <c r="E71" s="15"/>
      <c r="F71" s="15"/>
      <c r="G71" s="15"/>
      <c r="H71" s="15"/>
      <c r="I71" s="16">
        <f>4006.78</f>
        <v>4006.78</v>
      </c>
      <c r="J71" s="16"/>
      <c r="K71" s="16">
        <v>73046.72</v>
      </c>
      <c r="L71" s="16"/>
      <c r="M71" s="16"/>
      <c r="N71" s="16"/>
      <c r="O71" s="17">
        <f>SUM(C71:N71)</f>
        <v>77053.5</v>
      </c>
      <c r="P71" s="40"/>
      <c r="Q71" s="71" t="s">
        <v>32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s="8" customFormat="1" ht="24.75" customHeight="1">
      <c r="A72" s="56"/>
      <c r="B72" s="52" t="s">
        <v>33</v>
      </c>
      <c r="C72" s="38"/>
      <c r="D72" s="38"/>
      <c r="E72" s="38"/>
      <c r="F72" s="38"/>
      <c r="G72" s="38"/>
      <c r="H72" s="38"/>
      <c r="I72" s="38">
        <v>4006.78</v>
      </c>
      <c r="J72" s="38"/>
      <c r="K72" s="38">
        <v>73046.72</v>
      </c>
      <c r="L72" s="38"/>
      <c r="M72" s="38"/>
      <c r="N72" s="38"/>
      <c r="O72" s="17">
        <f>SUM(C72:N72)</f>
        <v>77053.5</v>
      </c>
      <c r="P72" s="40"/>
      <c r="Q72" s="78" t="s">
        <v>33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s="8" customFormat="1" ht="17.25" customHeight="1">
      <c r="A73" s="56"/>
      <c r="B73" s="48" t="s">
        <v>35</v>
      </c>
      <c r="C73" s="37">
        <f>C71-C72</f>
        <v>0</v>
      </c>
      <c r="D73" s="37">
        <f aca="true" t="shared" si="19" ref="D73:N73">C73+D71-D72</f>
        <v>0</v>
      </c>
      <c r="E73" s="37">
        <f t="shared" si="19"/>
        <v>0</v>
      </c>
      <c r="F73" s="37">
        <f t="shared" si="19"/>
        <v>0</v>
      </c>
      <c r="G73" s="37">
        <f t="shared" si="19"/>
        <v>0</v>
      </c>
      <c r="H73" s="37">
        <f t="shared" si="19"/>
        <v>0</v>
      </c>
      <c r="I73" s="37">
        <f t="shared" si="19"/>
        <v>0</v>
      </c>
      <c r="J73" s="37">
        <f t="shared" si="19"/>
        <v>0</v>
      </c>
      <c r="K73" s="37">
        <f t="shared" si="19"/>
        <v>0</v>
      </c>
      <c r="L73" s="37">
        <f t="shared" si="19"/>
        <v>0</v>
      </c>
      <c r="M73" s="37">
        <f t="shared" si="19"/>
        <v>0</v>
      </c>
      <c r="N73" s="37">
        <f t="shared" si="19"/>
        <v>0</v>
      </c>
      <c r="O73" s="37">
        <f>N73</f>
        <v>0</v>
      </c>
      <c r="P73" s="40"/>
      <c r="Q73" s="74" t="s">
        <v>35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s="8" customFormat="1" ht="17.25" customHeight="1">
      <c r="A74" s="56"/>
      <c r="B74" s="49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/>
      <c r="Q74" s="75"/>
      <c r="R74" s="1"/>
      <c r="S74" s="1"/>
      <c r="T74" s="1"/>
      <c r="U74" s="1"/>
      <c r="V74" s="1"/>
      <c r="W74" s="1"/>
      <c r="X74" s="1"/>
      <c r="Y74" s="1"/>
      <c r="Z74" s="1"/>
    </row>
    <row r="75" spans="1:26" s="8" customFormat="1" ht="17.25" customHeight="1">
      <c r="A75" s="54"/>
      <c r="B75" s="45" t="s">
        <v>46</v>
      </c>
      <c r="C75" s="15"/>
      <c r="D75" s="15"/>
      <c r="E75" s="15"/>
      <c r="F75" s="15"/>
      <c r="G75" s="15"/>
      <c r="H75" s="15"/>
      <c r="I75" s="16">
        <v>2100</v>
      </c>
      <c r="J75" s="16"/>
      <c r="K75" s="16"/>
      <c r="L75" s="16"/>
      <c r="M75" s="16"/>
      <c r="N75" s="16"/>
      <c r="O75" s="17">
        <f>SUM(C75:N75)</f>
        <v>2100</v>
      </c>
      <c r="P75" s="40"/>
      <c r="Q75" s="71" t="s">
        <v>46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s="8" customFormat="1" ht="17.25" customHeight="1">
      <c r="A76" s="56"/>
      <c r="B76" s="52" t="s">
        <v>67</v>
      </c>
      <c r="C76" s="38"/>
      <c r="D76" s="38"/>
      <c r="E76" s="38"/>
      <c r="F76" s="38"/>
      <c r="G76" s="38"/>
      <c r="H76" s="38"/>
      <c r="I76" s="38">
        <v>2100</v>
      </c>
      <c r="J76" s="38"/>
      <c r="K76" s="38"/>
      <c r="L76" s="38"/>
      <c r="M76" s="38"/>
      <c r="N76" s="38"/>
      <c r="O76" s="17">
        <f>SUM(C76:N76)</f>
        <v>2100</v>
      </c>
      <c r="P76" s="40"/>
      <c r="Q76" s="78" t="s">
        <v>67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s="8" customFormat="1" ht="17.25" customHeight="1">
      <c r="A77" s="56"/>
      <c r="B77" s="48" t="s">
        <v>47</v>
      </c>
      <c r="C77" s="37">
        <f>C75-C76</f>
        <v>0</v>
      </c>
      <c r="D77" s="37">
        <f aca="true" t="shared" si="20" ref="D77:N77">C77+D75-D76</f>
        <v>0</v>
      </c>
      <c r="E77" s="37">
        <f t="shared" si="20"/>
        <v>0</v>
      </c>
      <c r="F77" s="37">
        <f t="shared" si="20"/>
        <v>0</v>
      </c>
      <c r="G77" s="37">
        <f t="shared" si="20"/>
        <v>0</v>
      </c>
      <c r="H77" s="37">
        <f t="shared" si="20"/>
        <v>0</v>
      </c>
      <c r="I77" s="37">
        <f t="shared" si="20"/>
        <v>0</v>
      </c>
      <c r="J77" s="37">
        <f t="shared" si="20"/>
        <v>0</v>
      </c>
      <c r="K77" s="37">
        <f t="shared" si="20"/>
        <v>0</v>
      </c>
      <c r="L77" s="37">
        <f t="shared" si="20"/>
        <v>0</v>
      </c>
      <c r="M77" s="37">
        <f t="shared" si="20"/>
        <v>0</v>
      </c>
      <c r="N77" s="37">
        <f t="shared" si="20"/>
        <v>0</v>
      </c>
      <c r="O77" s="37">
        <f>N77</f>
        <v>0</v>
      </c>
      <c r="P77" s="40"/>
      <c r="Q77" s="74" t="s">
        <v>47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s="8" customFormat="1" ht="17.25" customHeight="1">
      <c r="A78" s="56"/>
      <c r="B78" s="4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40"/>
      <c r="Q78" s="74"/>
      <c r="R78" s="1"/>
      <c r="S78" s="1"/>
      <c r="T78" s="1"/>
      <c r="U78" s="1"/>
      <c r="V78" s="1"/>
      <c r="W78" s="1"/>
      <c r="X78" s="1"/>
      <c r="Y78" s="1"/>
      <c r="Z78" s="1"/>
    </row>
    <row r="79" spans="1:26" s="8" customFormat="1" ht="17.25" customHeight="1">
      <c r="A79" s="56"/>
      <c r="B79" s="45" t="s">
        <v>60</v>
      </c>
      <c r="C79" s="15"/>
      <c r="D79" s="15"/>
      <c r="E79" s="15"/>
      <c r="F79" s="15">
        <v>11400</v>
      </c>
      <c r="G79" s="15"/>
      <c r="H79" s="15"/>
      <c r="I79" s="16"/>
      <c r="J79" s="16"/>
      <c r="K79" s="16"/>
      <c r="L79" s="16"/>
      <c r="M79" s="16"/>
      <c r="N79" s="16"/>
      <c r="O79" s="17">
        <f>SUM(C79:N79)</f>
        <v>11400</v>
      </c>
      <c r="P79" s="40"/>
      <c r="Q79" s="71" t="s">
        <v>60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s="8" customFormat="1" ht="24" customHeight="1">
      <c r="A80" s="56"/>
      <c r="B80" s="52" t="s">
        <v>61</v>
      </c>
      <c r="C80" s="38"/>
      <c r="D80" s="38"/>
      <c r="E80" s="38"/>
      <c r="F80" s="38">
        <v>11400</v>
      </c>
      <c r="G80" s="38"/>
      <c r="H80" s="38"/>
      <c r="I80" s="38"/>
      <c r="J80" s="38"/>
      <c r="K80" s="38"/>
      <c r="L80" s="38"/>
      <c r="M80" s="38"/>
      <c r="N80" s="38"/>
      <c r="O80" s="17">
        <f>SUM(C80:N80)</f>
        <v>11400</v>
      </c>
      <c r="P80" s="40"/>
      <c r="Q80" s="78" t="s">
        <v>61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s="8" customFormat="1" ht="21" customHeight="1">
      <c r="A81" s="56"/>
      <c r="B81" s="48" t="s">
        <v>62</v>
      </c>
      <c r="C81" s="37">
        <f>C79-C80</f>
        <v>0</v>
      </c>
      <c r="D81" s="37">
        <f aca="true" t="shared" si="21" ref="D81:N81">C81+D79-D80</f>
        <v>0</v>
      </c>
      <c r="E81" s="37">
        <f t="shared" si="21"/>
        <v>0</v>
      </c>
      <c r="F81" s="37">
        <f t="shared" si="21"/>
        <v>0</v>
      </c>
      <c r="G81" s="37">
        <f t="shared" si="21"/>
        <v>0</v>
      </c>
      <c r="H81" s="37">
        <f t="shared" si="21"/>
        <v>0</v>
      </c>
      <c r="I81" s="37">
        <f t="shared" si="21"/>
        <v>0</v>
      </c>
      <c r="J81" s="37">
        <f t="shared" si="21"/>
        <v>0</v>
      </c>
      <c r="K81" s="37">
        <f t="shared" si="21"/>
        <v>0</v>
      </c>
      <c r="L81" s="37">
        <f t="shared" si="21"/>
        <v>0</v>
      </c>
      <c r="M81" s="37">
        <f t="shared" si="21"/>
        <v>0</v>
      </c>
      <c r="N81" s="37">
        <f t="shared" si="21"/>
        <v>0</v>
      </c>
      <c r="O81" s="37">
        <f>N81</f>
        <v>0</v>
      </c>
      <c r="P81" s="40"/>
      <c r="Q81" s="74" t="s">
        <v>62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s="8" customFormat="1" ht="34.5" customHeight="1">
      <c r="A82" s="54"/>
      <c r="B82" s="45" t="s">
        <v>55</v>
      </c>
      <c r="C82" s="15">
        <v>10000</v>
      </c>
      <c r="D82" s="15">
        <v>11000</v>
      </c>
      <c r="E82" s="15">
        <v>10000</v>
      </c>
      <c r="F82" s="15">
        <v>17000</v>
      </c>
      <c r="G82" s="15">
        <v>44800</v>
      </c>
      <c r="H82" s="15">
        <f>32500</f>
        <v>32500</v>
      </c>
      <c r="I82" s="16"/>
      <c r="J82" s="16"/>
      <c r="K82" s="16"/>
      <c r="L82" s="16"/>
      <c r="M82" s="16"/>
      <c r="N82" s="16">
        <v>32500</v>
      </c>
      <c r="O82" s="17">
        <f>SUM(C82:N82)</f>
        <v>157800</v>
      </c>
      <c r="P82" s="40"/>
      <c r="Q82" s="71" t="s">
        <v>55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s="8" customFormat="1" ht="24.75" customHeight="1">
      <c r="A83" s="56"/>
      <c r="B83" s="52">
        <v>211</v>
      </c>
      <c r="C83" s="38">
        <v>5000</v>
      </c>
      <c r="D83" s="38">
        <f>3505.77+1269+8.81+3267.11</f>
        <v>8050.6900000000005</v>
      </c>
      <c r="E83" s="38">
        <f>5000+564.19+1269+8.81</f>
        <v>6842.000000000001</v>
      </c>
      <c r="F83" s="38">
        <f>8179.24+2802.31+1269+8.8</f>
        <v>12259.349999999999</v>
      </c>
      <c r="G83" s="38">
        <f>5703.46+6506.99+7923.9+3428+26.32</f>
        <v>23588.67</v>
      </c>
      <c r="H83" s="38">
        <f>1407.23+4666.82+908</f>
        <v>6982.049999999999</v>
      </c>
      <c r="I83" s="38">
        <f>9350.65+1400+16.92</f>
        <v>10767.57</v>
      </c>
      <c r="J83" s="38"/>
      <c r="K83" s="38">
        <f>463.86+2332.15+675+8.76</f>
        <v>3479.7700000000004</v>
      </c>
      <c r="L83" s="38">
        <f>1718.2+2402.36+625+8.16</f>
        <v>4753.72</v>
      </c>
      <c r="M83" s="38">
        <f>1770.19+1872.2</f>
        <v>3642.3900000000003</v>
      </c>
      <c r="N83" s="38">
        <f>1696.15+2447.96+1811.94+1171+17.57</f>
        <v>7144.620000000001</v>
      </c>
      <c r="O83" s="17">
        <f>SUM(C83:N83)</f>
        <v>92510.82999999999</v>
      </c>
      <c r="P83" s="40"/>
      <c r="Q83" s="78">
        <v>211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s="8" customFormat="1" ht="24.75" customHeight="1">
      <c r="A84" s="56"/>
      <c r="B84" s="52">
        <v>213</v>
      </c>
      <c r="C84" s="38"/>
      <c r="D84" s="38">
        <f>19.53+283.21+498.06+2148.51</f>
        <v>2949.3100000000004</v>
      </c>
      <c r="E84" s="38">
        <f>19.53+283.21+498.06+2148.51</f>
        <v>2949.3100000000004</v>
      </c>
      <c r="F84" s="38">
        <f>19.54+283.22+498.07+2148.51</f>
        <v>2949.34</v>
      </c>
      <c r="G84" s="38">
        <f>52.74+764.77+1344.94+6248.88</f>
        <v>8411.33</v>
      </c>
      <c r="H84" s="38">
        <f>13.96+202.48+356.09+1545.42</f>
        <v>2117.95</v>
      </c>
      <c r="I84" s="38">
        <f>21.54+312.26+549.14+2359.49</f>
        <v>3242.43</v>
      </c>
      <c r="J84" s="38"/>
      <c r="K84" s="38">
        <f>10.39+150.74+265.1+1143.55</f>
        <v>1569.78</v>
      </c>
      <c r="L84" s="38">
        <f>9.61+139.33+245.04+1057.04</f>
        <v>1451.02</v>
      </c>
      <c r="M84" s="38"/>
      <c r="N84" s="38">
        <f>18.01+261.22+459.38+1534.53+63.56</f>
        <v>2336.7</v>
      </c>
      <c r="O84" s="17">
        <f>SUM(C84:N84)</f>
        <v>27977.170000000002</v>
      </c>
      <c r="P84" s="40"/>
      <c r="Q84" s="78">
        <v>213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s="8" customFormat="1" ht="24.75" customHeight="1">
      <c r="A85" s="56"/>
      <c r="B85" s="52">
        <v>310</v>
      </c>
      <c r="C85" s="38">
        <f>C86+C87+C88</f>
        <v>0</v>
      </c>
      <c r="D85" s="38">
        <f>D86+D87+D88</f>
        <v>0</v>
      </c>
      <c r="E85" s="38">
        <f>E86+E87+E88</f>
        <v>0</v>
      </c>
      <c r="F85" s="38">
        <f>F86+F87+F88</f>
        <v>0</v>
      </c>
      <c r="G85" s="38">
        <f>G86+G87+G88</f>
        <v>0</v>
      </c>
      <c r="H85" s="38">
        <f>H86+H87+H88</f>
        <v>0</v>
      </c>
      <c r="I85" s="38">
        <f>I86+I87+I88</f>
        <v>0</v>
      </c>
      <c r="J85" s="38">
        <f>J86+J87+J88</f>
        <v>0</v>
      </c>
      <c r="K85" s="38">
        <f>K86+K87+K88</f>
        <v>0</v>
      </c>
      <c r="L85" s="38">
        <f>L86+L87+L88</f>
        <v>0</v>
      </c>
      <c r="M85" s="38">
        <f>M86+M87+M88</f>
        <v>0</v>
      </c>
      <c r="N85" s="38">
        <f>N86+N87+N88</f>
        <v>32812</v>
      </c>
      <c r="O85" s="38">
        <f>O86+O87+O88</f>
        <v>32812</v>
      </c>
      <c r="P85" s="40"/>
      <c r="Q85" s="78">
        <v>310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s="8" customFormat="1" ht="24.75" customHeight="1">
      <c r="A86" s="56"/>
      <c r="B86" s="52" t="s">
        <v>88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>
        <v>6918</v>
      </c>
      <c r="O86" s="17">
        <f>N86</f>
        <v>6918</v>
      </c>
      <c r="P86" s="40"/>
      <c r="Q86" s="78" t="s">
        <v>88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s="8" customFormat="1" ht="24.75" customHeight="1">
      <c r="A87" s="56"/>
      <c r="B87" s="52" t="s">
        <v>89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>
        <v>11974</v>
      </c>
      <c r="O87" s="17">
        <f>N87</f>
        <v>11974</v>
      </c>
      <c r="P87" s="40"/>
      <c r="Q87" s="78" t="s">
        <v>89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s="8" customFormat="1" ht="24.75" customHeight="1">
      <c r="A88" s="56"/>
      <c r="B88" s="52" t="s">
        <v>90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>
        <v>13920</v>
      </c>
      <c r="O88" s="17">
        <f>N88</f>
        <v>13920</v>
      </c>
      <c r="P88" s="40"/>
      <c r="Q88" s="78" t="s">
        <v>90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s="8" customFormat="1" ht="24.75" customHeight="1">
      <c r="A89" s="56"/>
      <c r="B89" s="52" t="s">
        <v>91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>
        <v>4500</v>
      </c>
      <c r="O89" s="17">
        <f>SUM(C89:N89)</f>
        <v>4500</v>
      </c>
      <c r="P89" s="40"/>
      <c r="Q89" s="78">
        <v>340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s="8" customFormat="1" ht="24.75" customHeight="1">
      <c r="A90" s="56"/>
      <c r="B90" s="52" t="s">
        <v>64</v>
      </c>
      <c r="C90" s="38">
        <f>C83+C84+C89</f>
        <v>5000</v>
      </c>
      <c r="D90" s="38">
        <f aca="true" t="shared" si="22" ref="D90:O90">D83+D84+D89</f>
        <v>11000</v>
      </c>
      <c r="E90" s="38">
        <f t="shared" si="22"/>
        <v>9791.310000000001</v>
      </c>
      <c r="F90" s="38">
        <f t="shared" si="22"/>
        <v>15208.689999999999</v>
      </c>
      <c r="G90" s="38">
        <f t="shared" si="22"/>
        <v>32000</v>
      </c>
      <c r="H90" s="38">
        <f t="shared" si="22"/>
        <v>9100</v>
      </c>
      <c r="I90" s="38">
        <f t="shared" si="22"/>
        <v>14010</v>
      </c>
      <c r="J90" s="38">
        <f t="shared" si="22"/>
        <v>0</v>
      </c>
      <c r="K90" s="38">
        <f t="shared" si="22"/>
        <v>5049.55</v>
      </c>
      <c r="L90" s="38">
        <f t="shared" si="22"/>
        <v>6204.74</v>
      </c>
      <c r="M90" s="38">
        <f t="shared" si="22"/>
        <v>3642.3900000000003</v>
      </c>
      <c r="N90" s="38">
        <f>N83+N84+N89+N85</f>
        <v>46793.32</v>
      </c>
      <c r="O90" s="38">
        <f>O83+O84+O89+O85</f>
        <v>157800</v>
      </c>
      <c r="P90" s="40"/>
      <c r="Q90" s="78" t="s">
        <v>64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s="8" customFormat="1" ht="25.5" customHeight="1">
      <c r="A91" s="56"/>
      <c r="B91" s="48" t="s">
        <v>56</v>
      </c>
      <c r="C91" s="37">
        <f>C82-C83-C84</f>
        <v>5000</v>
      </c>
      <c r="D91" s="37">
        <f>C91+D82-D83-D84</f>
        <v>4999.999999999999</v>
      </c>
      <c r="E91" s="37">
        <f aca="true" t="shared" si="23" ref="E91:N91">D91+E82-E83-E84</f>
        <v>5208.689999999999</v>
      </c>
      <c r="F91" s="37">
        <f t="shared" si="23"/>
        <v>7000</v>
      </c>
      <c r="G91" s="37">
        <f t="shared" si="23"/>
        <v>19800</v>
      </c>
      <c r="H91" s="37">
        <f t="shared" si="23"/>
        <v>43200</v>
      </c>
      <c r="I91" s="37">
        <f t="shared" si="23"/>
        <v>29190</v>
      </c>
      <c r="J91" s="37">
        <f t="shared" si="23"/>
        <v>29190</v>
      </c>
      <c r="K91" s="37">
        <f t="shared" si="23"/>
        <v>24140.45</v>
      </c>
      <c r="L91" s="37">
        <f t="shared" si="23"/>
        <v>17935.71</v>
      </c>
      <c r="M91" s="37">
        <f t="shared" si="23"/>
        <v>14293.32</v>
      </c>
      <c r="N91" s="37">
        <f t="shared" si="23"/>
        <v>37312</v>
      </c>
      <c r="O91" s="37">
        <f>O82-O83-O84-O89-O85</f>
        <v>0</v>
      </c>
      <c r="P91" s="40"/>
      <c r="Q91" s="74" t="s">
        <v>56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s="8" customFormat="1" ht="25.5" customHeight="1">
      <c r="A92" s="56"/>
      <c r="B92" s="49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0"/>
      <c r="Q92" s="75"/>
      <c r="R92" s="1"/>
      <c r="S92" s="1"/>
      <c r="T92" s="1"/>
      <c r="U92" s="1"/>
      <c r="V92" s="1"/>
      <c r="W92" s="1"/>
      <c r="X92" s="1"/>
      <c r="Y92" s="1"/>
      <c r="Z92" s="1"/>
    </row>
    <row r="93" spans="1:26" s="8" customFormat="1" ht="25.5" customHeight="1">
      <c r="A93" s="56"/>
      <c r="B93" s="45" t="s">
        <v>72</v>
      </c>
      <c r="C93" s="15"/>
      <c r="D93" s="15"/>
      <c r="E93" s="15"/>
      <c r="F93" s="15"/>
      <c r="G93" s="15"/>
      <c r="H93" s="15"/>
      <c r="I93" s="16"/>
      <c r="J93" s="16"/>
      <c r="K93" s="16">
        <v>210100</v>
      </c>
      <c r="L93" s="16"/>
      <c r="M93" s="16"/>
      <c r="N93" s="16"/>
      <c r="O93" s="17">
        <f>SUM(C93:N93)</f>
        <v>210100</v>
      </c>
      <c r="P93" s="40"/>
      <c r="Q93" s="71" t="s">
        <v>72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s="8" customFormat="1" ht="25.5" customHeight="1">
      <c r="A94" s="56"/>
      <c r="B94" s="58">
        <v>310</v>
      </c>
      <c r="C94" s="30"/>
      <c r="D94" s="30"/>
      <c r="E94" s="30"/>
      <c r="F94" s="30"/>
      <c r="G94" s="30"/>
      <c r="H94" s="30"/>
      <c r="I94" s="59"/>
      <c r="J94" s="59"/>
      <c r="K94" s="59">
        <f>5500*2+179300</f>
        <v>190300</v>
      </c>
      <c r="L94" s="59"/>
      <c r="M94" s="59"/>
      <c r="N94" s="16"/>
      <c r="O94" s="17">
        <f>SUM(C94:N94)</f>
        <v>190300</v>
      </c>
      <c r="P94" s="40"/>
      <c r="Q94" s="79">
        <v>310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s="8" customFormat="1" ht="25.5" customHeight="1">
      <c r="A95" s="56"/>
      <c r="B95" s="58">
        <v>340</v>
      </c>
      <c r="C95" s="30"/>
      <c r="D95" s="30"/>
      <c r="E95" s="30"/>
      <c r="F95" s="30"/>
      <c r="G95" s="30"/>
      <c r="H95" s="30"/>
      <c r="I95" s="59"/>
      <c r="J95" s="59"/>
      <c r="K95" s="59">
        <f>210100-190300</f>
        <v>19800</v>
      </c>
      <c r="L95" s="59"/>
      <c r="M95" s="59"/>
      <c r="N95" s="59"/>
      <c r="O95" s="17">
        <f>SUM(C95:N95)</f>
        <v>19800</v>
      </c>
      <c r="P95" s="40"/>
      <c r="Q95" s="79">
        <v>340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s="8" customFormat="1" ht="25.5" customHeight="1">
      <c r="A96" s="56"/>
      <c r="B96" s="52" t="s">
        <v>36</v>
      </c>
      <c r="C96" s="38"/>
      <c r="D96" s="38"/>
      <c r="E96" s="38"/>
      <c r="F96" s="38"/>
      <c r="G96" s="38"/>
      <c r="H96" s="38"/>
      <c r="I96" s="38">
        <f>I94+I95</f>
        <v>0</v>
      </c>
      <c r="J96" s="38"/>
      <c r="K96" s="38">
        <f>K94+K95</f>
        <v>210100</v>
      </c>
      <c r="L96" s="38"/>
      <c r="M96" s="38"/>
      <c r="N96" s="38"/>
      <c r="O96" s="17">
        <f>SUM(C96:N96)</f>
        <v>210100</v>
      </c>
      <c r="P96" s="40"/>
      <c r="Q96" s="78" t="s">
        <v>36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s="8" customFormat="1" ht="25.5" customHeight="1">
      <c r="A97" s="56"/>
      <c r="B97" s="48" t="s">
        <v>78</v>
      </c>
      <c r="C97" s="37">
        <f>C93-C96</f>
        <v>0</v>
      </c>
      <c r="D97" s="37">
        <f aca="true" t="shared" si="24" ref="D97:L97">C97+D93-D96</f>
        <v>0</v>
      </c>
      <c r="E97" s="37">
        <f t="shared" si="24"/>
        <v>0</v>
      </c>
      <c r="F97" s="37">
        <f t="shared" si="24"/>
        <v>0</v>
      </c>
      <c r="G97" s="37">
        <f t="shared" si="24"/>
        <v>0</v>
      </c>
      <c r="H97" s="37">
        <f t="shared" si="24"/>
        <v>0</v>
      </c>
      <c r="I97" s="37">
        <f t="shared" si="24"/>
        <v>0</v>
      </c>
      <c r="J97" s="37">
        <f t="shared" si="24"/>
        <v>0</v>
      </c>
      <c r="K97" s="37">
        <f t="shared" si="24"/>
        <v>0</v>
      </c>
      <c r="L97" s="37">
        <f t="shared" si="24"/>
        <v>0</v>
      </c>
      <c r="M97" s="37">
        <f>L97-M96</f>
        <v>0</v>
      </c>
      <c r="N97" s="37">
        <f>N93-N95-N96</f>
        <v>0</v>
      </c>
      <c r="O97" s="37">
        <f>O93-O96</f>
        <v>0</v>
      </c>
      <c r="P97" s="40"/>
      <c r="Q97" s="74" t="s">
        <v>78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s="8" customFormat="1" ht="25.5" customHeight="1">
      <c r="A98" s="56"/>
      <c r="B98" s="49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0"/>
      <c r="Q98" s="75"/>
      <c r="R98" s="1"/>
      <c r="S98" s="1"/>
      <c r="T98" s="1"/>
      <c r="U98" s="1"/>
      <c r="V98" s="1"/>
      <c r="W98" s="1"/>
      <c r="X98" s="1"/>
      <c r="Y98" s="1"/>
      <c r="Z98" s="1"/>
    </row>
    <row r="99" spans="1:26" s="8" customFormat="1" ht="25.5" customHeight="1">
      <c r="A99" s="56"/>
      <c r="B99" s="45" t="s">
        <v>73</v>
      </c>
      <c r="C99" s="15"/>
      <c r="D99" s="15"/>
      <c r="E99" s="15"/>
      <c r="F99" s="15"/>
      <c r="G99" s="15"/>
      <c r="H99" s="15"/>
      <c r="I99" s="16"/>
      <c r="J99" s="16"/>
      <c r="K99" s="16">
        <v>71610</v>
      </c>
      <c r="L99" s="16">
        <v>71610</v>
      </c>
      <c r="M99" s="16">
        <v>71610</v>
      </c>
      <c r="N99" s="16">
        <v>71610</v>
      </c>
      <c r="O99" s="17">
        <f>SUM(C99:N99)</f>
        <v>286440</v>
      </c>
      <c r="P99" s="40"/>
      <c r="Q99" s="71" t="s">
        <v>73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s="8" customFormat="1" ht="25.5" customHeight="1">
      <c r="A100" s="56"/>
      <c r="B100" s="52">
        <v>211</v>
      </c>
      <c r="C100" s="38"/>
      <c r="D100" s="38"/>
      <c r="E100" s="38"/>
      <c r="F100" s="38"/>
      <c r="G100" s="38"/>
      <c r="H100" s="38"/>
      <c r="I100" s="38"/>
      <c r="J100" s="38"/>
      <c r="K100" s="38">
        <f>47600+250+7150</f>
        <v>55000</v>
      </c>
      <c r="L100" s="38">
        <f>27500+7150+250</f>
        <v>34900</v>
      </c>
      <c r="M100" s="38">
        <f>20100+27500+7150+250</f>
        <v>55000</v>
      </c>
      <c r="N100" s="38">
        <f>20100+27482.61+20100+7150+267.39</f>
        <v>75100</v>
      </c>
      <c r="O100" s="17">
        <f>SUM(C100:N100)</f>
        <v>220000</v>
      </c>
      <c r="P100" s="40"/>
      <c r="Q100" s="78">
        <v>211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8" customFormat="1" ht="25.5" customHeight="1">
      <c r="A101" s="56"/>
      <c r="B101" s="52">
        <v>213</v>
      </c>
      <c r="C101" s="38"/>
      <c r="D101" s="38"/>
      <c r="E101" s="38"/>
      <c r="F101" s="38"/>
      <c r="G101" s="38"/>
      <c r="H101" s="38"/>
      <c r="I101" s="38"/>
      <c r="J101" s="38"/>
      <c r="K101" s="38">
        <f>110+1595+2805+12100</f>
        <v>16610</v>
      </c>
      <c r="L101" s="38">
        <f>110+1595+2805+12100</f>
        <v>16610</v>
      </c>
      <c r="M101" s="38">
        <f>110+1595+2805+12100</f>
        <v>16610</v>
      </c>
      <c r="N101" s="38">
        <f>110+1595+2805+12100</f>
        <v>16610</v>
      </c>
      <c r="O101" s="17">
        <f>SUM(C101:N101)</f>
        <v>66440</v>
      </c>
      <c r="P101" s="40"/>
      <c r="Q101" s="78">
        <v>213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8" customFormat="1" ht="25.5" customHeight="1">
      <c r="A102" s="56"/>
      <c r="B102" s="5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7">
        <f>SUM(C102:N102)</f>
        <v>0</v>
      </c>
      <c r="P102" s="40"/>
      <c r="Q102" s="78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8" customFormat="1" ht="25.5" customHeight="1">
      <c r="A103" s="56"/>
      <c r="B103" s="52" t="s">
        <v>74</v>
      </c>
      <c r="C103" s="38">
        <f>C100+C101+C102</f>
        <v>0</v>
      </c>
      <c r="D103" s="38">
        <f aca="true" t="shared" si="25" ref="D103:O103">D100+D101+D102</f>
        <v>0</v>
      </c>
      <c r="E103" s="38">
        <f t="shared" si="25"/>
        <v>0</v>
      </c>
      <c r="F103" s="38">
        <f t="shared" si="25"/>
        <v>0</v>
      </c>
      <c r="G103" s="38">
        <f t="shared" si="25"/>
        <v>0</v>
      </c>
      <c r="H103" s="38">
        <f t="shared" si="25"/>
        <v>0</v>
      </c>
      <c r="I103" s="38">
        <f t="shared" si="25"/>
        <v>0</v>
      </c>
      <c r="J103" s="38">
        <f t="shared" si="25"/>
        <v>0</v>
      </c>
      <c r="K103" s="38">
        <f t="shared" si="25"/>
        <v>71610</v>
      </c>
      <c r="L103" s="38">
        <f t="shared" si="25"/>
        <v>51510</v>
      </c>
      <c r="M103" s="38">
        <f t="shared" si="25"/>
        <v>71610</v>
      </c>
      <c r="N103" s="38">
        <f t="shared" si="25"/>
        <v>91710</v>
      </c>
      <c r="O103" s="38">
        <f t="shared" si="25"/>
        <v>286440</v>
      </c>
      <c r="P103" s="40"/>
      <c r="Q103" s="78" t="s">
        <v>74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8" customFormat="1" ht="25.5" customHeight="1">
      <c r="A104" s="56"/>
      <c r="B104" s="48" t="s">
        <v>75</v>
      </c>
      <c r="C104" s="37">
        <f>C99-C100-C101</f>
        <v>0</v>
      </c>
      <c r="D104" s="37">
        <f aca="true" t="shared" si="26" ref="D104:N104">C104+D99-D100-D101</f>
        <v>0</v>
      </c>
      <c r="E104" s="37">
        <f t="shared" si="26"/>
        <v>0</v>
      </c>
      <c r="F104" s="37">
        <f t="shared" si="26"/>
        <v>0</v>
      </c>
      <c r="G104" s="37">
        <f t="shared" si="26"/>
        <v>0</v>
      </c>
      <c r="H104" s="37">
        <f t="shared" si="26"/>
        <v>0</v>
      </c>
      <c r="I104" s="37">
        <f t="shared" si="26"/>
        <v>0</v>
      </c>
      <c r="J104" s="37">
        <f t="shared" si="26"/>
        <v>0</v>
      </c>
      <c r="K104" s="37">
        <f t="shared" si="26"/>
        <v>0</v>
      </c>
      <c r="L104" s="37">
        <f t="shared" si="26"/>
        <v>20100</v>
      </c>
      <c r="M104" s="37">
        <f>L104+M99-M100-M101</f>
        <v>20100</v>
      </c>
      <c r="N104" s="37">
        <f t="shared" si="26"/>
        <v>0</v>
      </c>
      <c r="O104" s="37">
        <f>O99-O100-O101-O102</f>
        <v>0</v>
      </c>
      <c r="P104" s="40"/>
      <c r="Q104" s="74" t="s">
        <v>75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8" customFormat="1" ht="25.5" customHeight="1">
      <c r="A105" s="56"/>
      <c r="B105" s="49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0"/>
      <c r="Q105" s="75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8" customFormat="1" ht="25.5" customHeight="1">
      <c r="A106" s="56"/>
      <c r="B106" s="45" t="s">
        <v>68</v>
      </c>
      <c r="C106" s="15"/>
      <c r="D106" s="15"/>
      <c r="E106" s="15"/>
      <c r="F106" s="15"/>
      <c r="G106" s="15"/>
      <c r="H106" s="15"/>
      <c r="I106" s="16">
        <v>202600</v>
      </c>
      <c r="J106" s="16"/>
      <c r="K106" s="16"/>
      <c r="L106" s="16"/>
      <c r="M106" s="16"/>
      <c r="N106" s="16"/>
      <c r="O106" s="17">
        <f>SUM(C106:N106)</f>
        <v>202600</v>
      </c>
      <c r="P106" s="40"/>
      <c r="Q106" s="71" t="s">
        <v>68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8" customFormat="1" ht="25.5" customHeight="1">
      <c r="A107" s="56"/>
      <c r="B107" s="58" t="s">
        <v>69</v>
      </c>
      <c r="C107" s="30"/>
      <c r="D107" s="30"/>
      <c r="E107" s="30"/>
      <c r="F107" s="30"/>
      <c r="G107" s="30"/>
      <c r="H107" s="30"/>
      <c r="I107" s="59">
        <v>85600</v>
      </c>
      <c r="J107" s="59"/>
      <c r="K107" s="59"/>
      <c r="L107" s="59"/>
      <c r="M107" s="59"/>
      <c r="N107" s="16"/>
      <c r="O107" s="17">
        <f>SUM(C107:N107)</f>
        <v>85600</v>
      </c>
      <c r="P107" s="40"/>
      <c r="Q107" s="79" t="s">
        <v>69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8" customFormat="1" ht="21" customHeight="1">
      <c r="A108" s="56"/>
      <c r="B108" s="58" t="s">
        <v>70</v>
      </c>
      <c r="C108" s="30"/>
      <c r="D108" s="30"/>
      <c r="E108" s="30"/>
      <c r="F108" s="30"/>
      <c r="G108" s="30"/>
      <c r="H108" s="30"/>
      <c r="I108" s="59">
        <v>117000</v>
      </c>
      <c r="J108" s="59"/>
      <c r="K108" s="59"/>
      <c r="L108" s="59"/>
      <c r="M108" s="59"/>
      <c r="N108" s="59"/>
      <c r="O108" s="17">
        <f>SUM(C108:N108)</f>
        <v>117000</v>
      </c>
      <c r="P108" s="40"/>
      <c r="Q108" s="79" t="s">
        <v>70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8" customFormat="1" ht="21" customHeight="1">
      <c r="A109" s="56"/>
      <c r="B109" s="52" t="s">
        <v>36</v>
      </c>
      <c r="C109" s="38"/>
      <c r="D109" s="38"/>
      <c r="E109" s="38"/>
      <c r="F109" s="38"/>
      <c r="G109" s="38"/>
      <c r="H109" s="38"/>
      <c r="I109" s="38">
        <f>I107+I108</f>
        <v>202600</v>
      </c>
      <c r="J109" s="38"/>
      <c r="K109" s="38"/>
      <c r="L109" s="38"/>
      <c r="M109" s="38"/>
      <c r="N109" s="38"/>
      <c r="O109" s="17">
        <f>SUM(C109:N109)</f>
        <v>202600</v>
      </c>
      <c r="P109" s="40"/>
      <c r="Q109" s="78" t="s">
        <v>36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8" customFormat="1" ht="21" customHeight="1">
      <c r="A110" s="56"/>
      <c r="B110" s="48" t="s">
        <v>77</v>
      </c>
      <c r="C110" s="37">
        <f>C106-C109</f>
        <v>0</v>
      </c>
      <c r="D110" s="37">
        <f aca="true" t="shared" si="27" ref="D110:L110">C110+D106-D109</f>
        <v>0</v>
      </c>
      <c r="E110" s="37">
        <f t="shared" si="27"/>
        <v>0</v>
      </c>
      <c r="F110" s="37">
        <f t="shared" si="27"/>
        <v>0</v>
      </c>
      <c r="G110" s="37">
        <f t="shared" si="27"/>
        <v>0</v>
      </c>
      <c r="H110" s="37">
        <f t="shared" si="27"/>
        <v>0</v>
      </c>
      <c r="I110" s="37">
        <f t="shared" si="27"/>
        <v>0</v>
      </c>
      <c r="J110" s="37">
        <f t="shared" si="27"/>
        <v>0</v>
      </c>
      <c r="K110" s="37">
        <f t="shared" si="27"/>
        <v>0</v>
      </c>
      <c r="L110" s="37">
        <f t="shared" si="27"/>
        <v>0</v>
      </c>
      <c r="M110" s="37">
        <f>L110-M109</f>
        <v>0</v>
      </c>
      <c r="N110" s="37">
        <f>N106-N108-N109</f>
        <v>0</v>
      </c>
      <c r="O110" s="37">
        <f>O106-O109</f>
        <v>0</v>
      </c>
      <c r="P110" s="40"/>
      <c r="Q110" s="74" t="s">
        <v>77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8" customFormat="1" ht="21" customHeight="1">
      <c r="A111" s="56"/>
      <c r="B111" s="49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0"/>
      <c r="Q111" s="75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8" customFormat="1" ht="32.25" customHeight="1">
      <c r="A112" s="54"/>
      <c r="B112" s="45" t="s">
        <v>63</v>
      </c>
      <c r="C112" s="15"/>
      <c r="D112" s="15"/>
      <c r="E112" s="15"/>
      <c r="F112" s="15"/>
      <c r="G112" s="15"/>
      <c r="H112" s="15">
        <v>200600</v>
      </c>
      <c r="I112" s="16"/>
      <c r="J112" s="16"/>
      <c r="K112" s="16"/>
      <c r="L112" s="16"/>
      <c r="M112" s="16"/>
      <c r="N112" s="16"/>
      <c r="O112" s="17">
        <f>SUM(C112:N112)</f>
        <v>200600</v>
      </c>
      <c r="P112" s="40"/>
      <c r="Q112" s="71" t="s">
        <v>63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8" customFormat="1" ht="24.75" customHeight="1">
      <c r="A113" s="56"/>
      <c r="B113" s="58" t="s">
        <v>36</v>
      </c>
      <c r="C113" s="30"/>
      <c r="D113" s="30"/>
      <c r="E113" s="30"/>
      <c r="F113" s="30"/>
      <c r="G113" s="30"/>
      <c r="H113" s="30">
        <v>200600</v>
      </c>
      <c r="I113" s="59"/>
      <c r="J113" s="59"/>
      <c r="K113" s="59"/>
      <c r="L113" s="59"/>
      <c r="M113" s="59"/>
      <c r="N113" s="59"/>
      <c r="O113" s="17">
        <f>SUM(C113:N113)</f>
        <v>200600</v>
      </c>
      <c r="P113" s="40"/>
      <c r="Q113" s="79" t="s">
        <v>36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8" customFormat="1" ht="25.5" customHeight="1">
      <c r="A114" s="56"/>
      <c r="B114" s="52" t="s">
        <v>36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17">
        <f>SUM(C114:N114)</f>
        <v>0</v>
      </c>
      <c r="P114" s="40"/>
      <c r="Q114" s="78" t="s">
        <v>36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8" customFormat="1" ht="18" customHeight="1">
      <c r="A115" s="56"/>
      <c r="B115" s="48" t="s">
        <v>65</v>
      </c>
      <c r="C115" s="37">
        <f>C112-C114</f>
        <v>0</v>
      </c>
      <c r="D115" s="37">
        <f aca="true" t="shared" si="28" ref="D115:L115">C115+D112-D114</f>
        <v>0</v>
      </c>
      <c r="E115" s="37">
        <f t="shared" si="28"/>
        <v>0</v>
      </c>
      <c r="F115" s="37">
        <f t="shared" si="28"/>
        <v>0</v>
      </c>
      <c r="G115" s="37">
        <f t="shared" si="28"/>
        <v>0</v>
      </c>
      <c r="H115" s="37">
        <f t="shared" si="28"/>
        <v>200600</v>
      </c>
      <c r="I115" s="37">
        <f t="shared" si="28"/>
        <v>200600</v>
      </c>
      <c r="J115" s="37">
        <f t="shared" si="28"/>
        <v>200600</v>
      </c>
      <c r="K115" s="37">
        <f t="shared" si="28"/>
        <v>200600</v>
      </c>
      <c r="L115" s="37">
        <f t="shared" si="28"/>
        <v>200600</v>
      </c>
      <c r="M115" s="37">
        <f>L115-M114</f>
        <v>200600</v>
      </c>
      <c r="N115" s="37">
        <f>N112-N113-N114</f>
        <v>0</v>
      </c>
      <c r="O115" s="37">
        <f>O112-O113-O114</f>
        <v>0</v>
      </c>
      <c r="P115" s="40"/>
      <c r="Q115" s="74" t="s">
        <v>65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8" customFormat="1" ht="34.5" customHeight="1">
      <c r="A116" s="56"/>
      <c r="B116" s="35" t="s">
        <v>40</v>
      </c>
      <c r="C116" s="37">
        <f aca="true" t="shared" si="29" ref="C116:N116">C4+C12+C65+C71+C82+C112+C25+C33</f>
        <v>65069.24</v>
      </c>
      <c r="D116" s="37">
        <f t="shared" si="29"/>
        <v>108014.42</v>
      </c>
      <c r="E116" s="37">
        <f t="shared" si="29"/>
        <v>142229.94</v>
      </c>
      <c r="F116" s="37">
        <f t="shared" si="29"/>
        <v>196692</v>
      </c>
      <c r="G116" s="37">
        <f t="shared" si="29"/>
        <v>103113</v>
      </c>
      <c r="H116" s="37">
        <f t="shared" si="29"/>
        <v>314082.85</v>
      </c>
      <c r="I116" s="37">
        <f t="shared" si="29"/>
        <v>223526.74000000002</v>
      </c>
      <c r="J116" s="37">
        <f t="shared" si="29"/>
        <v>48427.87</v>
      </c>
      <c r="K116" s="37">
        <f t="shared" si="29"/>
        <v>150376.41999999998</v>
      </c>
      <c r="L116" s="37">
        <f t="shared" si="29"/>
        <v>139381.15</v>
      </c>
      <c r="M116" s="37">
        <f t="shared" si="29"/>
        <v>123710</v>
      </c>
      <c r="N116" s="37">
        <f t="shared" si="29"/>
        <v>450848.83</v>
      </c>
      <c r="O116" s="37">
        <f>O4+O12+O25+O33+O52+O56+O61+O65+O71+O75+O79+O82+O93+O99+O106+O112</f>
        <v>3025430.67</v>
      </c>
      <c r="P116" s="40"/>
      <c r="Q116" s="80" t="s">
        <v>40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8" customFormat="1" ht="34.5" customHeight="1">
      <c r="A117" s="57"/>
      <c r="B117" s="35" t="s">
        <v>43</v>
      </c>
      <c r="C117" s="37">
        <f aca="true" t="shared" si="30" ref="C117:N117">C9+C16+C30+C49</f>
        <v>55069.24</v>
      </c>
      <c r="D117" s="37">
        <f t="shared" si="30"/>
        <v>97014.42</v>
      </c>
      <c r="E117" s="37">
        <f t="shared" si="30"/>
        <v>131409.94</v>
      </c>
      <c r="F117" s="37">
        <f t="shared" si="30"/>
        <v>145292</v>
      </c>
      <c r="G117" s="37">
        <f t="shared" si="30"/>
        <v>92713</v>
      </c>
      <c r="H117" s="37">
        <f t="shared" si="30"/>
        <v>75670</v>
      </c>
      <c r="I117" s="37">
        <f t="shared" si="30"/>
        <v>115377.87</v>
      </c>
      <c r="J117" s="37">
        <f t="shared" si="30"/>
        <v>48700</v>
      </c>
      <c r="K117" s="37">
        <f t="shared" si="30"/>
        <v>56947.5</v>
      </c>
      <c r="L117" s="37">
        <f t="shared" si="30"/>
        <v>159763.35</v>
      </c>
      <c r="M117" s="37">
        <f t="shared" si="30"/>
        <v>123710</v>
      </c>
      <c r="N117" s="37">
        <f t="shared" si="30"/>
        <v>410575.83</v>
      </c>
      <c r="O117" s="37">
        <f>O9+O22+O30+O49+O53+O57+O62+O68+O72+O76+O80+O90+O96+O103+O109+O113</f>
        <v>3025430.67</v>
      </c>
      <c r="P117" s="40"/>
      <c r="Q117" s="80" t="s">
        <v>43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8" customFormat="1" ht="34.5" customHeight="1">
      <c r="A118" s="57"/>
      <c r="B118" s="35" t="s">
        <v>44</v>
      </c>
      <c r="C118" s="37">
        <f aca="true" t="shared" si="31" ref="C118:N118">C10+C23+C31+C50+C91</f>
        <v>5000</v>
      </c>
      <c r="D118" s="37">
        <f t="shared" si="31"/>
        <v>4999.999999999999</v>
      </c>
      <c r="E118" s="37">
        <f t="shared" si="31"/>
        <v>5208.689999999999</v>
      </c>
      <c r="F118" s="37">
        <f t="shared" si="31"/>
        <v>41400</v>
      </c>
      <c r="G118" s="37">
        <f t="shared" si="31"/>
        <v>19800</v>
      </c>
      <c r="H118" s="37">
        <f t="shared" si="31"/>
        <v>43200</v>
      </c>
      <c r="I118" s="37">
        <f t="shared" si="31"/>
        <v>29462.13</v>
      </c>
      <c r="J118" s="37">
        <f t="shared" si="31"/>
        <v>29190</v>
      </c>
      <c r="K118" s="37">
        <f t="shared" si="31"/>
        <v>44522.649999999994</v>
      </c>
      <c r="L118" s="37">
        <f t="shared" si="31"/>
        <v>25475.709999999992</v>
      </c>
      <c r="M118" s="37">
        <f t="shared" si="31"/>
        <v>21833.319999999992</v>
      </c>
      <c r="N118" s="37">
        <f t="shared" si="31"/>
        <v>54375</v>
      </c>
      <c r="O118" s="37">
        <f>O10+O23+O31+O50+O69+O73+O77+O81+O91+O97+O104+O110+O115</f>
        <v>3.456079866737127E-11</v>
      </c>
      <c r="P118" s="40"/>
      <c r="Q118" s="80" t="s">
        <v>44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8" customFormat="1" ht="11.25" customHeight="1">
      <c r="A119" s="57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39"/>
      <c r="R119" s="1"/>
      <c r="S119" s="1"/>
      <c r="T119" s="1"/>
      <c r="U119" s="1"/>
      <c r="V119" s="1"/>
      <c r="W119" s="1"/>
      <c r="X119" s="1"/>
      <c r="Y119" s="1"/>
      <c r="Z119" s="1"/>
    </row>
    <row r="120" spans="1:19" ht="18">
      <c r="A120" s="25"/>
      <c r="B120" s="39" t="s">
        <v>5</v>
      </c>
      <c r="C120" s="60" t="s">
        <v>6</v>
      </c>
      <c r="E120" s="13"/>
      <c r="H120" s="13"/>
      <c r="I120" s="13"/>
      <c r="K120" s="13"/>
      <c r="L120" s="13"/>
      <c r="M120" s="13"/>
      <c r="N120" s="13"/>
      <c r="O120" s="13"/>
      <c r="P120" s="1"/>
      <c r="Q120" s="1"/>
      <c r="R120" s="1"/>
      <c r="S120" s="1"/>
    </row>
    <row r="121" spans="1:15" ht="18">
      <c r="A121" s="25"/>
      <c r="B121" s="39"/>
      <c r="C121" s="60"/>
      <c r="D121" s="13"/>
      <c r="E121" s="13"/>
      <c r="H121" s="13"/>
      <c r="J121" s="13"/>
      <c r="O121" s="13"/>
    </row>
    <row r="122" spans="1:14" ht="18">
      <c r="A122" s="25"/>
      <c r="B122" s="39" t="s">
        <v>7</v>
      </c>
      <c r="C122" s="60" t="s">
        <v>8</v>
      </c>
      <c r="H122" s="13"/>
      <c r="I122" s="13"/>
      <c r="J122" s="13"/>
      <c r="K122" s="13"/>
      <c r="L122" s="13"/>
      <c r="M122" s="13"/>
      <c r="N122" s="13"/>
    </row>
    <row r="123" ht="18">
      <c r="A123" s="25"/>
    </row>
    <row r="124" spans="1:15" ht="18">
      <c r="A124" s="25"/>
      <c r="N124" s="13"/>
      <c r="O124" s="13">
        <f>O116-O117</f>
        <v>0</v>
      </c>
    </row>
    <row r="125" spans="14:15" ht="18">
      <c r="N125" s="13"/>
      <c r="O125" s="13">
        <f>O124-O118</f>
        <v>-3.456079866737127E-11</v>
      </c>
    </row>
    <row r="126" spans="14:15" ht="18">
      <c r="N126" s="13"/>
      <c r="O126" s="13"/>
    </row>
    <row r="127" spans="14:15" ht="18">
      <c r="N127" s="13"/>
      <c r="O127" s="13"/>
    </row>
    <row r="128" spans="14:17" ht="18">
      <c r="N128" s="13"/>
      <c r="O128" s="13"/>
      <c r="Q128" s="19"/>
    </row>
  </sheetData>
  <sheetProtection/>
  <mergeCells count="2">
    <mergeCell ref="B2:C2"/>
    <mergeCell ref="B1:N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2017-12-29T14:20:34Z</cp:lastPrinted>
  <dcterms:created xsi:type="dcterms:W3CDTF">1996-10-08T23:32:33Z</dcterms:created>
  <dcterms:modified xsi:type="dcterms:W3CDTF">2021-01-08T07:20:45Z</dcterms:modified>
  <cp:category/>
  <cp:version/>
  <cp:contentType/>
  <cp:contentStatus/>
</cp:coreProperties>
</file>