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колы " sheetId="1" r:id="rId1"/>
  </sheets>
  <definedNames>
    <definedName name="_xlnm.Print_Area" localSheetId="0">'школы '!$A$1:$N$90</definedName>
  </definedNames>
  <calcPr fullCalcOnLoad="1"/>
</workbook>
</file>

<file path=xl/sharedStrings.xml><?xml version="1.0" encoding="utf-8"?>
<sst xmlns="http://schemas.openxmlformats.org/spreadsheetml/2006/main" count="164" uniqueCount="93">
  <si>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</si>
  <si>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</si>
  <si>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</si>
  <si>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</si>
  <si>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</si>
  <si>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</si>
  <si>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</si>
  <si>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</si>
  <si>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</si>
  <si>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</si>
  <si>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</si>
  <si>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</si>
  <si>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</si>
  <si>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</si>
  <si>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</si>
  <si>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</si>
  <si>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</si>
  <si>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290 в.т.ч.</t>
  </si>
  <si>
    <t>земельный налог</t>
  </si>
  <si>
    <t>пени, штрафы</t>
  </si>
  <si>
    <t>оформ лицензии</t>
  </si>
  <si>
    <t>пож.технич.минимум</t>
  </si>
  <si>
    <t>налог за загрязнение окр.среды</t>
  </si>
  <si>
    <t>гос.пошлина</t>
  </si>
  <si>
    <t>обучение отв за теплохоз.и эл.хоз</t>
  </si>
  <si>
    <t>итого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</si>
  <si>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</si>
  <si>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</si>
  <si>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</si>
  <si>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</si>
  <si>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</si>
  <si>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</si>
  <si>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</si>
  <si>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</si>
  <si>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</si>
  <si>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</si>
  <si>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тепловая энергия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</si>
  <si>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</si>
  <si>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</si>
  <si>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</si>
  <si>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</si>
  <si>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</si>
  <si>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</si>
  <si>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</si>
  <si>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</si>
  <si>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ремонт актового зала</t>
  </si>
  <si>
    <t xml:space="preserve">охранные услуги </t>
  </si>
  <si>
    <t>обслуж.теплосчетчиков</t>
  </si>
  <si>
    <t>гидравлич.испытания трубопровода</t>
  </si>
  <si>
    <t>Финансирование</t>
  </si>
  <si>
    <t>Остаток на л/счете</t>
  </si>
  <si>
    <t>тех.обслуживание тахографа</t>
  </si>
  <si>
    <t xml:space="preserve">тех.обслуживание АПС </t>
  </si>
  <si>
    <t>тестирование ЕГЭ 9 и 11 кл</t>
  </si>
  <si>
    <t>гиг.обучение</t>
  </si>
  <si>
    <t>ремонт водопровода</t>
  </si>
  <si>
    <t>обучение механика и отв.за подвоз</t>
  </si>
  <si>
    <t>224 аренда трансп.услуги</t>
  </si>
  <si>
    <t>обучение охрана труда</t>
  </si>
  <si>
    <t>з/плата гарантированная</t>
  </si>
  <si>
    <t>премии</t>
  </si>
  <si>
    <t>обучение 44-ФЗ</t>
  </si>
  <si>
    <t>611 заработная плата  211</t>
  </si>
  <si>
    <t>611 начисления на з/плату 213</t>
  </si>
  <si>
    <t>установка вод.счетчика</t>
  </si>
  <si>
    <t>отщип (Лаб.испытания огнезащиты)</t>
  </si>
  <si>
    <t>утилизация люм.ламп</t>
  </si>
  <si>
    <t>611 з/п</t>
  </si>
  <si>
    <t>установка тахографа</t>
  </si>
  <si>
    <t>МРСК Юга опломбировка эл.счетчика</t>
  </si>
  <si>
    <t>обучение бухгалтера</t>
  </si>
  <si>
    <t>услуги по обращениб с ТКО</t>
  </si>
  <si>
    <t>частные  охран.услуги(физич.)</t>
  </si>
  <si>
    <t>ат.раб.мест</t>
  </si>
  <si>
    <t>моющие и хозтовары</t>
  </si>
  <si>
    <t>ГСМ на бензокосу</t>
  </si>
  <si>
    <t>огнетушители</t>
  </si>
  <si>
    <t>скорая помощь</t>
  </si>
  <si>
    <t>РЦИС система Дело</t>
  </si>
  <si>
    <t>обслуживание системы видеонаблюдения</t>
  </si>
  <si>
    <t>борьба с комарами</t>
  </si>
  <si>
    <t>бесконтактный термометр</t>
  </si>
  <si>
    <t>Изготовление пож.декларации</t>
  </si>
  <si>
    <t>лаб.испытания огнезащ.обраб.дер.констр. И одежды сцены</t>
  </si>
  <si>
    <t>изготовление печати,штампов, вывески</t>
  </si>
  <si>
    <t>нотариальные услуги</t>
  </si>
  <si>
    <t>прочистка канализации</t>
  </si>
  <si>
    <t xml:space="preserve">Подписка на журнал </t>
  </si>
  <si>
    <t>Информация о расходовании средств местного бюджета за январь-декабрь  2020  год</t>
  </si>
  <si>
    <t>борьба с КОВИДом</t>
  </si>
  <si>
    <t>дезары+дозаторы</t>
  </si>
  <si>
    <t>спецодежда</t>
  </si>
  <si>
    <t>канцтовары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</si>
</sst>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wrapText="1"/>
    </xf>
    <xf numFmtId="183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33" borderId="11" xfId="0" applyNumberFormat="1" applyFont="1" applyFill="1" applyBorder="1" applyAlignment="1">
      <alignment horizontal="right" wrapText="1"/>
    </xf>
    <xf numFmtId="184" fontId="6" fillId="33" borderId="11" xfId="0" applyNumberFormat="1" applyFont="1" applyFill="1" applyBorder="1" applyAlignment="1">
      <alignment/>
    </xf>
    <xf numFmtId="183" fontId="5" fillId="33" borderId="11" xfId="0" applyNumberFormat="1" applyFont="1" applyFill="1" applyBorder="1" applyAlignment="1">
      <alignment wrapText="1"/>
    </xf>
    <xf numFmtId="184" fontId="5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4" borderId="10" xfId="0" applyNumberFormat="1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2" fontId="5" fillId="4" borderId="10" xfId="0" applyNumberFormat="1" applyFont="1" applyFill="1" applyBorder="1" applyAlignment="1">
      <alignment horizontal="center" wrapText="1"/>
    </xf>
    <xf numFmtId="183" fontId="5" fillId="4" borderId="10" xfId="0" applyNumberFormat="1" applyFont="1" applyFill="1" applyBorder="1" applyAlignment="1">
      <alignment horizontal="left" wrapText="1"/>
    </xf>
    <xf numFmtId="183" fontId="5" fillId="0" borderId="10" xfId="0" applyNumberFormat="1" applyFont="1" applyFill="1" applyBorder="1" applyAlignment="1">
      <alignment horizontal="left" wrapText="1"/>
    </xf>
    <xf numFmtId="183" fontId="6" fillId="0" borderId="11" xfId="0" applyNumberFormat="1" applyFont="1" applyFill="1" applyBorder="1" applyAlignment="1">
      <alignment horizontal="left" wrapText="1"/>
    </xf>
    <xf numFmtId="183" fontId="6" fillId="33" borderId="11" xfId="0" applyNumberFormat="1" applyFont="1" applyFill="1" applyBorder="1" applyAlignment="1">
      <alignment horizontal="left" wrapText="1"/>
    </xf>
    <xf numFmtId="183" fontId="5" fillId="33" borderId="11" xfId="0" applyNumberFormat="1" applyFont="1" applyFill="1" applyBorder="1" applyAlignment="1">
      <alignment horizontal="left" wrapText="1"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75" zoomScaleSheetLayoutView="75" zoomScalePageLayoutView="0" workbookViewId="0" topLeftCell="A1">
      <selection activeCell="K82" sqref="K82"/>
    </sheetView>
  </sheetViews>
  <sheetFormatPr defaultColWidth="9.140625" defaultRowHeight="12.75"/>
  <cols>
    <col min="1" max="1" width="56.7109375" style="7" customWidth="1"/>
    <col min="2" max="2" width="17.8515625" style="3" customWidth="1"/>
    <col min="3" max="3" width="20.421875" style="3" customWidth="1"/>
    <col min="4" max="4" width="19.28125" style="3" customWidth="1"/>
    <col min="5" max="5" width="19.57421875" style="3" customWidth="1"/>
    <col min="6" max="6" width="20.7109375" style="3" customWidth="1"/>
    <col min="7" max="7" width="20.421875" style="3" customWidth="1"/>
    <col min="8" max="8" width="20.7109375" style="3" customWidth="1"/>
    <col min="9" max="9" width="18.140625" style="3" customWidth="1"/>
    <col min="10" max="10" width="18.28125" style="3" customWidth="1"/>
    <col min="11" max="11" width="20.140625" style="3" customWidth="1"/>
    <col min="12" max="12" width="18.8515625" style="3" customWidth="1"/>
    <col min="13" max="13" width="17.8515625" style="3" customWidth="1"/>
    <col min="14" max="14" width="22.7109375" style="3" customWidth="1"/>
    <col min="15" max="15" width="67.28125" style="2" customWidth="1"/>
    <col min="16" max="16" width="30.140625" style="2" customWidth="1"/>
    <col min="17" max="17" width="9.140625" style="2" customWidth="1"/>
    <col min="18" max="18" width="24.28125" style="2" customWidth="1"/>
    <col min="19" max="16384" width="9.140625" style="2" customWidth="1"/>
  </cols>
  <sheetData>
    <row r="1" spans="1:18" ht="48.75" customHeight="1">
      <c r="A1" s="51" t="s">
        <v>88</v>
      </c>
      <c r="B1" s="5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6"/>
      <c r="P1" s="26"/>
      <c r="Q1" s="26"/>
      <c r="R1" s="26"/>
    </row>
    <row r="2" spans="1:18" ht="33" customHeight="1">
      <c r="A2" s="49" t="s">
        <v>26</v>
      </c>
      <c r="B2" s="50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7" t="s">
        <v>67</v>
      </c>
      <c r="P2" s="26"/>
      <c r="Q2" s="26"/>
      <c r="R2" s="26"/>
    </row>
    <row r="3" spans="1:25" s="4" customFormat="1" ht="21" customHeight="1">
      <c r="A3" s="8"/>
      <c r="B3" s="15" t="s">
        <v>27</v>
      </c>
      <c r="C3" s="15" t="s">
        <v>32</v>
      </c>
      <c r="D3" s="15" t="s">
        <v>33</v>
      </c>
      <c r="E3" s="15" t="s">
        <v>34</v>
      </c>
      <c r="F3" s="15" t="s">
        <v>35</v>
      </c>
      <c r="G3" s="15" t="s">
        <v>37</v>
      </c>
      <c r="H3" s="15" t="s">
        <v>39</v>
      </c>
      <c r="I3" s="15" t="s">
        <v>40</v>
      </c>
      <c r="J3" s="15" t="s">
        <v>41</v>
      </c>
      <c r="K3" s="15" t="s">
        <v>42</v>
      </c>
      <c r="L3" s="15" t="s">
        <v>43</v>
      </c>
      <c r="M3" s="15" t="s">
        <v>44</v>
      </c>
      <c r="N3" s="16" t="s">
        <v>25</v>
      </c>
      <c r="O3" s="45"/>
      <c r="P3" s="28">
        <f>N4+N7</f>
        <v>1574500</v>
      </c>
      <c r="Q3" s="27"/>
      <c r="R3" s="27"/>
      <c r="S3" s="5"/>
      <c r="T3" s="5"/>
      <c r="U3" s="5"/>
      <c r="V3" s="5"/>
      <c r="W3" s="5"/>
      <c r="X3" s="5"/>
      <c r="Y3" s="5"/>
    </row>
    <row r="4" spans="1:25" s="4" customFormat="1" ht="21" customHeight="1">
      <c r="A4" s="22" t="s">
        <v>62</v>
      </c>
      <c r="B4" s="21">
        <f>B5+B6</f>
        <v>45000</v>
      </c>
      <c r="C4" s="21">
        <f aca="true" t="shared" si="0" ref="C4:M4">C5+C6</f>
        <v>109861.7</v>
      </c>
      <c r="D4" s="21">
        <f t="shared" si="0"/>
        <v>114392.45</v>
      </c>
      <c r="E4" s="21">
        <f t="shared" si="0"/>
        <v>127032.5</v>
      </c>
      <c r="F4" s="21">
        <f t="shared" si="0"/>
        <v>159087.89</v>
      </c>
      <c r="G4" s="21">
        <f t="shared" si="0"/>
        <v>106551.56999999999</v>
      </c>
      <c r="H4" s="21">
        <f>H5+H6</f>
        <v>129474.71</v>
      </c>
      <c r="I4" s="21">
        <f t="shared" si="0"/>
        <v>95556.15</v>
      </c>
      <c r="J4" s="21">
        <f t="shared" si="0"/>
        <v>61984.6</v>
      </c>
      <c r="K4" s="21">
        <f t="shared" si="0"/>
        <v>49100</v>
      </c>
      <c r="L4" s="21">
        <f t="shared" si="0"/>
        <v>105183.86</v>
      </c>
      <c r="M4" s="21">
        <f t="shared" si="0"/>
        <v>94548.14</v>
      </c>
      <c r="N4" s="23">
        <f>B4+C4+D4+E4+F4+G4+H4+I4+J4+K4+L4+M4</f>
        <v>1197773.5699999998</v>
      </c>
      <c r="O4" s="44" t="s">
        <v>62</v>
      </c>
      <c r="P4" s="28">
        <f>1098000-P3</f>
        <v>-476500</v>
      </c>
      <c r="Q4" s="27"/>
      <c r="R4" s="27"/>
      <c r="S4" s="5"/>
      <c r="T4" s="5"/>
      <c r="U4" s="5"/>
      <c r="V4" s="5"/>
      <c r="W4" s="5"/>
      <c r="X4" s="5"/>
      <c r="Y4" s="5"/>
    </row>
    <row r="5" spans="1:25" s="4" customFormat="1" ht="21" customHeight="1">
      <c r="A5" s="39" t="s">
        <v>59</v>
      </c>
      <c r="B5" s="40">
        <v>45000</v>
      </c>
      <c r="C5" s="41">
        <f>48928.96+15126+806.74+45000</f>
        <v>109861.7</v>
      </c>
      <c r="D5" s="41">
        <f>5679.02+6742.95+43093.19+45000+13175+702.29</f>
        <v>114392.45</v>
      </c>
      <c r="E5" s="41">
        <f>6174.73+2256.45+33185.5+57225.97+13686+677.78+13826.07</f>
        <v>127032.5</v>
      </c>
      <c r="F5" s="41">
        <f>5366.56+7027.44+18258.02+113757.17+13812+866.7</f>
        <v>159087.89</v>
      </c>
      <c r="G5" s="41">
        <f>9000+33980.37+4528.28+1885.46+24305.62+28250+1601.84+3000</f>
        <v>106551.56999999999</v>
      </c>
      <c r="H5" s="42">
        <f>2401.28+2236.02+3097.73+83935.72+16832+971.96+20000</f>
        <v>129474.71</v>
      </c>
      <c r="I5" s="42">
        <f>82000+3556.15+10000</f>
        <v>95556.15</v>
      </c>
      <c r="J5" s="42">
        <f>53000+7617+1367.6</f>
        <v>61984.6</v>
      </c>
      <c r="K5" s="42">
        <f>49100</f>
        <v>49100</v>
      </c>
      <c r="L5" s="42">
        <f>93011.05+11461+711.81</f>
        <v>105183.86</v>
      </c>
      <c r="M5" s="42">
        <f>45000+36099.93+11941+1507.21</f>
        <v>94548.14</v>
      </c>
      <c r="N5" s="23">
        <f>B5+C5+D5+E5+F5+G5+H5+I5+J5+K5+L5+M5</f>
        <v>1197773.5699999998</v>
      </c>
      <c r="O5" s="45" t="s">
        <v>59</v>
      </c>
      <c r="P5" s="27"/>
      <c r="Q5" s="27"/>
      <c r="R5" s="27"/>
      <c r="S5" s="5"/>
      <c r="T5" s="5"/>
      <c r="U5" s="5"/>
      <c r="V5" s="5"/>
      <c r="W5" s="5"/>
      <c r="X5" s="5"/>
      <c r="Y5" s="5"/>
    </row>
    <row r="6" spans="1:25" s="4" customFormat="1" ht="21" customHeight="1">
      <c r="A6" s="39" t="s">
        <v>60</v>
      </c>
      <c r="B6" s="40"/>
      <c r="C6" s="41"/>
      <c r="D6" s="41"/>
      <c r="E6" s="41"/>
      <c r="F6" s="41"/>
      <c r="G6" s="41"/>
      <c r="H6" s="42"/>
      <c r="I6" s="42"/>
      <c r="J6" s="42"/>
      <c r="K6" s="42"/>
      <c r="L6" s="42"/>
      <c r="M6" s="42"/>
      <c r="N6" s="23">
        <f>B6+C6+D6+E6+F6+G6+H6+I6+J6+K6+L6+M6</f>
        <v>0</v>
      </c>
      <c r="O6" s="45" t="s">
        <v>60</v>
      </c>
      <c r="P6" s="27"/>
      <c r="Q6" s="27"/>
      <c r="R6" s="27"/>
      <c r="S6" s="5"/>
      <c r="T6" s="5"/>
      <c r="U6" s="5"/>
      <c r="V6" s="5"/>
      <c r="W6" s="5"/>
      <c r="X6" s="5"/>
      <c r="Y6" s="5"/>
    </row>
    <row r="7" spans="1:25" s="4" customFormat="1" ht="21" customHeight="1">
      <c r="A7" s="22" t="s">
        <v>63</v>
      </c>
      <c r="B7" s="43"/>
      <c r="C7" s="43">
        <f>232.7+3374.21+5933.95+25597.44</f>
        <v>35138.3</v>
      </c>
      <c r="D7" s="43">
        <f>202.7+2939.13+5168.83+22296.89</f>
        <v>30607.55</v>
      </c>
      <c r="E7" s="43">
        <f>210.56+3053.03+5369.11+23160.87</f>
        <v>31793.57</v>
      </c>
      <c r="F7" s="43">
        <f>212.49+3081.11+5418.5+23373.94</f>
        <v>32086.04</v>
      </c>
      <c r="G7" s="43">
        <f>434.61+6301.95+11082.75+55629.12</f>
        <v>73448.43</v>
      </c>
      <c r="H7" s="38">
        <f>258.95+3754.77+6603.21+20908.36</f>
        <v>31525.29</v>
      </c>
      <c r="I7" s="38">
        <f>36443.85</f>
        <v>36443.85</v>
      </c>
      <c r="J7" s="38">
        <f>317.19+4599.23+8088.3+10.68</f>
        <v>13015.4</v>
      </c>
      <c r="K7" s="38"/>
      <c r="L7" s="38">
        <f>176.33+2556.71+4496.29+17586.81</f>
        <v>24816.14</v>
      </c>
      <c r="M7" s="36">
        <f>369.37+5355.88+9418.95+52707.66</f>
        <v>67851.86</v>
      </c>
      <c r="N7" s="23">
        <f aca="true" t="shared" si="1" ref="N7:N41">B7+C7+D7+E7+F7+G7+H7+I7+J7+K7+L7+M7</f>
        <v>376726.43000000005</v>
      </c>
      <c r="O7" s="44" t="s">
        <v>63</v>
      </c>
      <c r="P7" s="28"/>
      <c r="Q7" s="27"/>
      <c r="R7" s="28">
        <f>844360-P7</f>
        <v>844360</v>
      </c>
      <c r="S7" s="5"/>
      <c r="T7" s="5"/>
      <c r="U7" s="5"/>
      <c r="V7" s="5"/>
      <c r="W7" s="5"/>
      <c r="X7" s="5"/>
      <c r="Y7" s="5"/>
    </row>
    <row r="8" spans="1:25" s="4" customFormat="1" ht="21" customHeight="1">
      <c r="A8" s="22">
        <v>212</v>
      </c>
      <c r="B8" s="35"/>
      <c r="C8" s="35"/>
      <c r="D8" s="35"/>
      <c r="E8" s="35"/>
      <c r="F8" s="35"/>
      <c r="G8" s="35"/>
      <c r="H8" s="36"/>
      <c r="I8" s="36"/>
      <c r="J8" s="36"/>
      <c r="K8" s="36"/>
      <c r="L8" s="36"/>
      <c r="M8" s="38"/>
      <c r="N8" s="23">
        <f t="shared" si="1"/>
        <v>0</v>
      </c>
      <c r="O8" s="44">
        <v>212</v>
      </c>
      <c r="P8" s="28">
        <f>D4+D7</f>
        <v>145000</v>
      </c>
      <c r="Q8" s="27"/>
      <c r="R8" s="28"/>
      <c r="S8" s="5"/>
      <c r="T8" s="5"/>
      <c r="U8" s="5"/>
      <c r="V8" s="5"/>
      <c r="W8" s="5"/>
      <c r="X8" s="5"/>
      <c r="Y8" s="5"/>
    </row>
    <row r="9" spans="1:25" s="14" customFormat="1" ht="18">
      <c r="A9" s="11">
        <v>221</v>
      </c>
      <c r="B9" s="12"/>
      <c r="C9" s="12">
        <v>3156</v>
      </c>
      <c r="D9" s="12">
        <v>3156</v>
      </c>
      <c r="E9" s="12">
        <f>3156</f>
        <v>3156</v>
      </c>
      <c r="F9" s="12">
        <v>3156</v>
      </c>
      <c r="G9" s="12">
        <v>3156</v>
      </c>
      <c r="H9" s="12">
        <v>3156</v>
      </c>
      <c r="I9" s="12">
        <v>3156</v>
      </c>
      <c r="J9" s="12">
        <v>3156</v>
      </c>
      <c r="K9" s="12">
        <v>3156</v>
      </c>
      <c r="L9" s="12">
        <v>3156</v>
      </c>
      <c r="M9" s="12">
        <f>3156*2</f>
        <v>6312</v>
      </c>
      <c r="N9" s="17">
        <f t="shared" si="1"/>
        <v>37872</v>
      </c>
      <c r="O9" s="11">
        <v>221</v>
      </c>
      <c r="P9" s="19"/>
      <c r="Q9" s="29"/>
      <c r="R9" s="29"/>
      <c r="S9" s="1"/>
      <c r="T9" s="1"/>
      <c r="U9" s="1"/>
      <c r="V9" s="1"/>
      <c r="W9" s="1"/>
      <c r="X9" s="1"/>
      <c r="Y9" s="1"/>
    </row>
    <row r="10" spans="1:25" s="14" customFormat="1" ht="21" customHeight="1">
      <c r="A10" s="13" t="s">
        <v>5</v>
      </c>
      <c r="B10" s="12">
        <f>B11+B12+B13+B14+B15</f>
        <v>11312.15</v>
      </c>
      <c r="C10" s="12">
        <f aca="true" t="shared" si="2" ref="C10:L10">C11+C12+C13+C14+C15</f>
        <v>121291.09000000001</v>
      </c>
      <c r="D10" s="12">
        <f t="shared" si="2"/>
        <v>209865.31999999998</v>
      </c>
      <c r="E10" s="12">
        <f>E11+E12+E13+E14+E15</f>
        <v>151581.31</v>
      </c>
      <c r="F10" s="12">
        <f t="shared" si="2"/>
        <v>101815.01</v>
      </c>
      <c r="G10" s="12">
        <f t="shared" si="2"/>
        <v>18775.43</v>
      </c>
      <c r="H10" s="12">
        <f t="shared" si="2"/>
        <v>6711.08</v>
      </c>
      <c r="I10" s="12">
        <f>I11+I12+I13+I14+I15</f>
        <v>11759.93</v>
      </c>
      <c r="J10" s="12">
        <f t="shared" si="2"/>
        <v>16270.300000000001</v>
      </c>
      <c r="K10" s="12">
        <f t="shared" si="2"/>
        <v>28107.219999999998</v>
      </c>
      <c r="L10" s="12">
        <f t="shared" si="2"/>
        <v>70433.03</v>
      </c>
      <c r="M10" s="12">
        <f>M11+M12+M13+M14+M15</f>
        <v>389364.77999999997</v>
      </c>
      <c r="N10" s="17">
        <f>B10+C10+D10+E10+F10+G10+H10+I10+J10+K10+L10+M10</f>
        <v>1137286.6500000001</v>
      </c>
      <c r="O10" s="11" t="s">
        <v>5</v>
      </c>
      <c r="P10" s="29"/>
      <c r="Q10" s="29"/>
      <c r="R10" s="29"/>
      <c r="S10" s="1"/>
      <c r="T10" s="1"/>
      <c r="U10" s="1"/>
      <c r="V10" s="1"/>
      <c r="W10" s="1"/>
      <c r="X10" s="1"/>
      <c r="Y10" s="1"/>
    </row>
    <row r="11" spans="1:25" ht="21" customHeight="1">
      <c r="A11" s="9" t="s">
        <v>6</v>
      </c>
      <c r="B11" s="10">
        <f>7.63+3261.24+8043.28</f>
        <v>11312.15</v>
      </c>
      <c r="C11" s="10">
        <f>6032.46+4002.1</f>
        <v>10034.56</v>
      </c>
      <c r="D11" s="10">
        <f>3001.57+8501.27+7934.04</f>
        <v>19436.88</v>
      </c>
      <c r="E11" s="10">
        <f>5950.54+10728.28+8665.55</f>
        <v>25344.37</v>
      </c>
      <c r="F11" s="10">
        <f>6499.16+2330.05</f>
        <v>8829.21</v>
      </c>
      <c r="G11" s="10">
        <f>1747.54+1386.02</f>
        <v>3133.56</v>
      </c>
      <c r="H11" s="10">
        <f>1053.35+1805.66</f>
        <v>2859.01</v>
      </c>
      <c r="I11" s="10">
        <f>1354.25+5286.59</f>
        <v>6640.84</v>
      </c>
      <c r="J11" s="10">
        <f>3964.93+1169.08</f>
        <v>5134.01</v>
      </c>
      <c r="K11" s="10">
        <f>876.8+12939.92+9977.08</f>
        <v>23793.8</v>
      </c>
      <c r="L11" s="10">
        <f>10276.9+10421.08+13894.76</f>
        <v>34592.74</v>
      </c>
      <c r="M11" s="10">
        <f>10421.08+1366.4+11684.57+4212.11</f>
        <v>27684.16</v>
      </c>
      <c r="N11" s="17">
        <f t="shared" si="1"/>
        <v>178795.28999999998</v>
      </c>
      <c r="O11" s="46" t="s">
        <v>6</v>
      </c>
      <c r="P11" s="29"/>
      <c r="Q11" s="29"/>
      <c r="R11" s="29"/>
      <c r="S11" s="1"/>
      <c r="T11" s="1"/>
      <c r="U11" s="1"/>
      <c r="V11" s="1"/>
      <c r="W11" s="1"/>
      <c r="X11" s="1"/>
      <c r="Y11" s="1"/>
    </row>
    <row r="12" spans="1:25" ht="21" customHeight="1">
      <c r="A12" s="9" t="s">
        <v>71</v>
      </c>
      <c r="B12" s="10"/>
      <c r="C12" s="10">
        <v>402.83</v>
      </c>
      <c r="D12" s="10">
        <v>805.67</v>
      </c>
      <c r="E12" s="10">
        <v>805.67</v>
      </c>
      <c r="F12" s="10"/>
      <c r="G12" s="10">
        <v>805.67</v>
      </c>
      <c r="H12" s="10">
        <v>805.67</v>
      </c>
      <c r="I12" s="10">
        <f>805.67*2</f>
        <v>1611.34</v>
      </c>
      <c r="J12" s="10"/>
      <c r="K12" s="10">
        <v>805.67</v>
      </c>
      <c r="L12" s="10">
        <v>805.67</v>
      </c>
      <c r="M12" s="10">
        <f>805.67*2</f>
        <v>1611.34</v>
      </c>
      <c r="N12" s="17">
        <f>B12+C12+D12+E12+F12+G12+H12+I12+J12+K12+L12+M12</f>
        <v>8459.53</v>
      </c>
      <c r="O12" s="46" t="s">
        <v>71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9" t="s">
        <v>36</v>
      </c>
      <c r="B13" s="10"/>
      <c r="C13" s="10">
        <v>109548.1</v>
      </c>
      <c r="D13" s="10">
        <v>185270.77</v>
      </c>
      <c r="E13" s="10">
        <v>123690.47</v>
      </c>
      <c r="F13" s="10">
        <v>91854.28</v>
      </c>
      <c r="G13" s="10"/>
      <c r="H13" s="10"/>
      <c r="I13" s="10"/>
      <c r="J13" s="10"/>
      <c r="K13" s="10"/>
      <c r="L13" s="10">
        <v>31137.12</v>
      </c>
      <c r="M13" s="10">
        <f>159793.38+178776.22</f>
        <v>338569.6</v>
      </c>
      <c r="N13" s="17">
        <f t="shared" si="1"/>
        <v>880070.34</v>
      </c>
      <c r="O13" s="46" t="s">
        <v>36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9" t="s">
        <v>7</v>
      </c>
      <c r="B14" s="10"/>
      <c r="C14" s="10">
        <v>1305.6</v>
      </c>
      <c r="D14" s="10">
        <v>4352</v>
      </c>
      <c r="E14" s="10">
        <v>1740.8</v>
      </c>
      <c r="F14" s="10">
        <v>1131.52</v>
      </c>
      <c r="G14" s="10">
        <v>1131.52</v>
      </c>
      <c r="H14" s="10">
        <v>3046.4</v>
      </c>
      <c r="I14" s="10">
        <v>3507.75</v>
      </c>
      <c r="J14" s="10">
        <v>1169.25</v>
      </c>
      <c r="K14" s="10">
        <f>3507.75</f>
        <v>3507.75</v>
      </c>
      <c r="L14" s="10">
        <v>3897.5</v>
      </c>
      <c r="M14" s="10">
        <f>3897.5*2</f>
        <v>7795</v>
      </c>
      <c r="N14" s="17">
        <f t="shared" si="1"/>
        <v>32585.09</v>
      </c>
      <c r="O14" s="46" t="s">
        <v>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9" t="s">
        <v>8</v>
      </c>
      <c r="B15" s="10"/>
      <c r="C15" s="10"/>
      <c r="D15" s="10"/>
      <c r="E15" s="10"/>
      <c r="F15" s="10"/>
      <c r="G15" s="10">
        <v>13704.68</v>
      </c>
      <c r="H15" s="10"/>
      <c r="I15" s="10"/>
      <c r="J15" s="10">
        <v>9967.04</v>
      </c>
      <c r="K15" s="10"/>
      <c r="L15" s="10"/>
      <c r="M15" s="10">
        <v>13704.68</v>
      </c>
      <c r="N15" s="17">
        <f t="shared" si="1"/>
        <v>37376.4</v>
      </c>
      <c r="O15" s="46" t="s">
        <v>8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30" t="s">
        <v>57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>
        <f t="shared" si="1"/>
        <v>0</v>
      </c>
      <c r="O16" s="47" t="s">
        <v>57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4" customFormat="1" ht="27" customHeight="1">
      <c r="A17" s="32" t="s">
        <v>0</v>
      </c>
      <c r="B17" s="33">
        <f>B18+B19+B20+B21+B23+B24+B25+B26+B27+B28+B29+B30+B31+B32+B33+B37</f>
        <v>3186.88</v>
      </c>
      <c r="C17" s="33">
        <f>C18+C19+C20+C21+C23+C24+C25+C26+C27+C28+C29+C30+C31+C32+C33+C37+C34</f>
        <v>17109.48</v>
      </c>
      <c r="D17" s="33">
        <f>D18+D19+D20+D21+D23+D24+D25+D26+D27+D28+D29+D30+D31+D32+D33+D37+D35+D36</f>
        <v>36679.93</v>
      </c>
      <c r="E17" s="33">
        <f>E18+E19+E20+E21+E23+E24+E25+E26+E27+E28+E29+E30+E31+E32+E33+E37+E34</f>
        <v>8757.88</v>
      </c>
      <c r="F17" s="33">
        <f>F18+F19+F20+F21+F23+F24+F25+F26+F27+F28+F29+F30+F31+F32+F33+F37+F36</f>
        <v>27692.48</v>
      </c>
      <c r="G17" s="33">
        <f>G18+G19+G20+G21+G23+G24+G25+G26+G27+G28+G29+G30+G31+G32+G33+G37</f>
        <v>43889.26</v>
      </c>
      <c r="H17" s="33">
        <f>H18+H19+H20+H21+H23+H24+H25+H26+H27+H28+H29+H30+H31+H32+H33+H37</f>
        <v>28470.760000000002</v>
      </c>
      <c r="I17" s="33">
        <f>I18+I19+I20+I21+I23+I24+I25+I26+I27+I28+I29+I30+I31+I32+I33+I37+I35+I36</f>
        <v>24051.86</v>
      </c>
      <c r="J17" s="33">
        <f>J18+J19+J20+J21+J23+J24+J25+J26+J27+J28+J29+J30+J31+J32+J33+J37+J36</f>
        <v>25545.78</v>
      </c>
      <c r="K17" s="33">
        <f>K18+K19+K20+K21+K23+K24+K25+K26+K27+K28+K29+K30+K31+K32+K33+K37+K36</f>
        <v>24312.760000000002</v>
      </c>
      <c r="L17" s="33">
        <f>L18+L19+L20+L21+L23+L24+L25+L26+L27+L28+L29+L30+L31+L32+L33+L37+L36</f>
        <v>1100</v>
      </c>
      <c r="M17" s="33">
        <f>M18+M19+M20+M21+M23+M24+M25+M26+M27+M28+M29+M30+M31+M32+M33+M37+M36+M22</f>
        <v>83796.06999999999</v>
      </c>
      <c r="N17" s="33">
        <f>N18+N19+N20+N21+N22+N23+N24+N25+N26+N27+N28+N29+N30+N31+N32+N33+N34+N35+N36+N37</f>
        <v>324593.14</v>
      </c>
      <c r="O17" s="48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86</v>
      </c>
      <c r="B18" s="10"/>
      <c r="C18" s="10"/>
      <c r="D18" s="10"/>
      <c r="E18" s="10"/>
      <c r="F18" s="10"/>
      <c r="G18" s="10"/>
      <c r="H18" s="10"/>
      <c r="I18" s="10"/>
      <c r="J18" s="10">
        <v>8100</v>
      </c>
      <c r="K18" s="10"/>
      <c r="L18" s="10"/>
      <c r="M18" s="10"/>
      <c r="N18" s="17">
        <f t="shared" si="1"/>
        <v>8100</v>
      </c>
      <c r="O18" s="46" t="s">
        <v>86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9" t="s">
        <v>9</v>
      </c>
      <c r="B19" s="10">
        <v>2613</v>
      </c>
      <c r="C19" s="10">
        <f>1491+4104</f>
        <v>5595</v>
      </c>
      <c r="D19" s="10">
        <v>4104</v>
      </c>
      <c r="E19" s="10">
        <v>4104</v>
      </c>
      <c r="F19" s="10">
        <v>4398</v>
      </c>
      <c r="G19" s="10">
        <v>4398</v>
      </c>
      <c r="H19" s="10">
        <v>4398</v>
      </c>
      <c r="I19" s="10"/>
      <c r="J19" s="10">
        <v>4164.44</v>
      </c>
      <c r="K19" s="10">
        <f>233.56+4398</f>
        <v>4631.56</v>
      </c>
      <c r="L19" s="10"/>
      <c r="M19" s="10">
        <f>4104*2</f>
        <v>8208</v>
      </c>
      <c r="N19" s="17">
        <f t="shared" si="1"/>
        <v>46614</v>
      </c>
      <c r="O19" s="46" t="s">
        <v>9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5" customHeight="1">
      <c r="A20" s="9" t="s">
        <v>10</v>
      </c>
      <c r="B20" s="10"/>
      <c r="C20" s="10"/>
      <c r="D20" s="10"/>
      <c r="E20" s="10">
        <v>4080</v>
      </c>
      <c r="F20" s="10"/>
      <c r="G20" s="10">
        <v>4080</v>
      </c>
      <c r="H20" s="10"/>
      <c r="I20" s="10">
        <v>4080</v>
      </c>
      <c r="J20" s="10"/>
      <c r="K20" s="10"/>
      <c r="L20" s="10"/>
      <c r="M20" s="10"/>
      <c r="N20" s="17">
        <f t="shared" si="1"/>
        <v>12240</v>
      </c>
      <c r="O20" s="46" t="s"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9" t="s">
        <v>80</v>
      </c>
      <c r="B21" s="10"/>
      <c r="C21" s="10"/>
      <c r="D21" s="10"/>
      <c r="E21" s="10"/>
      <c r="F21" s="10">
        <v>4080</v>
      </c>
      <c r="G21" s="10">
        <v>4080</v>
      </c>
      <c r="H21" s="10"/>
      <c r="I21" s="10">
        <v>4080</v>
      </c>
      <c r="J21" s="10"/>
      <c r="K21" s="10"/>
      <c r="L21" s="10"/>
      <c r="M21" s="10"/>
      <c r="N21" s="17">
        <f t="shared" si="1"/>
        <v>12240</v>
      </c>
      <c r="O21" s="46" t="s">
        <v>80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" customHeight="1">
      <c r="A22" s="9" t="s">
        <v>89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f>16080+7728</f>
        <v>23808</v>
      </c>
      <c r="N22" s="17">
        <f t="shared" si="1"/>
        <v>23808</v>
      </c>
      <c r="O22" s="46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2.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7">
        <f t="shared" si="1"/>
        <v>0</v>
      </c>
      <c r="O23" s="46" t="s">
        <v>11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" customHeight="1">
      <c r="A24" s="9" t="s">
        <v>12</v>
      </c>
      <c r="B24" s="10">
        <v>573.88</v>
      </c>
      <c r="C24" s="10">
        <v>573.88</v>
      </c>
      <c r="D24" s="10">
        <v>5194.73</v>
      </c>
      <c r="E24" s="10">
        <v>573.88</v>
      </c>
      <c r="F24" s="10">
        <v>573.88</v>
      </c>
      <c r="G24" s="10">
        <v>1974.65</v>
      </c>
      <c r="H24" s="10"/>
      <c r="I24" s="10"/>
      <c r="J24" s="10"/>
      <c r="K24" s="10"/>
      <c r="L24" s="10"/>
      <c r="M24" s="10">
        <v>23298.87</v>
      </c>
      <c r="N24" s="17">
        <f t="shared" si="1"/>
        <v>32763.769999999997</v>
      </c>
      <c r="O24" s="46" t="s">
        <v>12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" customHeight="1">
      <c r="A25" s="9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7">
        <f t="shared" si="1"/>
        <v>0</v>
      </c>
      <c r="O25" s="46" t="s">
        <v>45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8.5" customHeight="1">
      <c r="A26" s="9" t="s">
        <v>47</v>
      </c>
      <c r="B26" s="10"/>
      <c r="C26" s="10">
        <v>1100</v>
      </c>
      <c r="D26" s="10">
        <v>1100</v>
      </c>
      <c r="E26" s="10"/>
      <c r="F26" s="10">
        <f>1100*2</f>
        <v>2200</v>
      </c>
      <c r="G26" s="10"/>
      <c r="H26" s="10"/>
      <c r="I26" s="10"/>
      <c r="J26" s="10"/>
      <c r="K26" s="10"/>
      <c r="L26" s="10">
        <v>1100</v>
      </c>
      <c r="M26" s="10">
        <f>1100*2</f>
        <v>2200</v>
      </c>
      <c r="N26" s="17">
        <f t="shared" si="1"/>
        <v>7700</v>
      </c>
      <c r="O26" s="46" t="s">
        <v>47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5.5" customHeight="1">
      <c r="A27" s="9" t="s">
        <v>48</v>
      </c>
      <c r="B27" s="10"/>
      <c r="C27" s="10"/>
      <c r="D27" s="10"/>
      <c r="E27" s="10"/>
      <c r="F27" s="10"/>
      <c r="G27" s="10">
        <v>9358.01</v>
      </c>
      <c r="H27" s="10"/>
      <c r="I27" s="10"/>
      <c r="J27" s="10"/>
      <c r="K27" s="10"/>
      <c r="L27" s="10"/>
      <c r="M27" s="10"/>
      <c r="N27" s="17">
        <f t="shared" si="1"/>
        <v>9358.01</v>
      </c>
      <c r="O27" s="46" t="s">
        <v>48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>
      <c r="A28" s="9" t="s">
        <v>56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">
        <f t="shared" si="1"/>
        <v>0</v>
      </c>
      <c r="O28" s="46" t="s">
        <v>56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0" customHeight="1">
      <c r="A29" s="9" t="s">
        <v>83</v>
      </c>
      <c r="B29" s="10"/>
      <c r="C29" s="10"/>
      <c r="D29" s="10"/>
      <c r="E29" s="10"/>
      <c r="F29" s="10"/>
      <c r="G29" s="10"/>
      <c r="H29" s="10">
        <v>14232.16</v>
      </c>
      <c r="I29" s="10"/>
      <c r="J29" s="10"/>
      <c r="K29" s="10"/>
      <c r="L29" s="10"/>
      <c r="M29" s="10"/>
      <c r="N29" s="17">
        <f t="shared" si="1"/>
        <v>14232.16</v>
      </c>
      <c r="O29" s="46" t="s">
        <v>83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.75" customHeight="1">
      <c r="A30" s="9" t="s">
        <v>13</v>
      </c>
      <c r="B30" s="10"/>
      <c r="C30" s="10"/>
      <c r="D30" s="10"/>
      <c r="E30" s="10"/>
      <c r="F30" s="10"/>
      <c r="G30" s="10">
        <v>7658</v>
      </c>
      <c r="H30" s="10"/>
      <c r="I30" s="10"/>
      <c r="J30" s="10"/>
      <c r="K30" s="10"/>
      <c r="L30" s="10"/>
      <c r="M30" s="10"/>
      <c r="N30" s="17">
        <f t="shared" si="1"/>
        <v>7658</v>
      </c>
      <c r="O30" s="46" t="s">
        <v>13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6" customHeight="1">
      <c r="A31" s="9" t="s">
        <v>14</v>
      </c>
      <c r="B31" s="10"/>
      <c r="C31" s="10"/>
      <c r="D31" s="10"/>
      <c r="E31" s="10"/>
      <c r="F31" s="10"/>
      <c r="G31" s="10">
        <v>2500</v>
      </c>
      <c r="H31" s="10"/>
      <c r="I31" s="10"/>
      <c r="J31" s="10"/>
      <c r="K31" s="10"/>
      <c r="L31" s="10"/>
      <c r="M31" s="10"/>
      <c r="N31" s="17">
        <f t="shared" si="1"/>
        <v>2500</v>
      </c>
      <c r="O31" s="46" t="s">
        <v>14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 customHeight="1">
      <c r="A32" s="9" t="s">
        <v>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7">
        <f t="shared" si="1"/>
        <v>0</v>
      </c>
      <c r="O32" s="46" t="s">
        <v>64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" customHeight="1">
      <c r="A33" s="9" t="s">
        <v>52</v>
      </c>
      <c r="B33" s="10"/>
      <c r="C33" s="10">
        <v>9840.6</v>
      </c>
      <c r="D33" s="10">
        <f>9840.6*2</f>
        <v>19681.2</v>
      </c>
      <c r="E33" s="10"/>
      <c r="F33" s="10">
        <v>9840.6</v>
      </c>
      <c r="G33" s="10">
        <v>9840.6</v>
      </c>
      <c r="H33" s="10">
        <v>9840.6</v>
      </c>
      <c r="I33" s="10">
        <v>9840.6</v>
      </c>
      <c r="J33" s="10">
        <v>9840.6</v>
      </c>
      <c r="K33" s="10">
        <f>9840.6*2</f>
        <v>19681.2</v>
      </c>
      <c r="L33" s="10"/>
      <c r="M33" s="10">
        <f>9840.6*2</f>
        <v>19681.2</v>
      </c>
      <c r="N33" s="17">
        <f t="shared" si="1"/>
        <v>118087.2</v>
      </c>
      <c r="O33" s="46" t="s">
        <v>52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5.5" customHeight="1">
      <c r="A34" s="9" t="s">
        <v>55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1"/>
        <v>0</v>
      </c>
      <c r="O34" s="46" t="s">
        <v>55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1.5" customHeight="1">
      <c r="A35" s="9" t="s">
        <v>51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1"/>
        <v>0</v>
      </c>
      <c r="O35" s="46" t="s">
        <v>51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1.5" customHeight="1">
      <c r="A36" s="9" t="s">
        <v>79</v>
      </c>
      <c r="B36" s="10"/>
      <c r="C36" s="10"/>
      <c r="D36" s="10">
        <v>6600</v>
      </c>
      <c r="E36" s="10"/>
      <c r="F36" s="10">
        <v>6600</v>
      </c>
      <c r="G36" s="10"/>
      <c r="H36" s="10"/>
      <c r="I36" s="10">
        <f>3159.26</f>
        <v>3159.26</v>
      </c>
      <c r="J36" s="10">
        <f>3440.74</f>
        <v>3440.74</v>
      </c>
      <c r="K36" s="10"/>
      <c r="L36" s="10"/>
      <c r="M36" s="10">
        <v>6600</v>
      </c>
      <c r="N36" s="17">
        <f t="shared" si="1"/>
        <v>26400</v>
      </c>
      <c r="O36" s="46" t="s">
        <v>79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>
      <c r="A37" s="9" t="s">
        <v>55</v>
      </c>
      <c r="B37" s="10"/>
      <c r="C37" s="10"/>
      <c r="D37" s="10"/>
      <c r="E37" s="10"/>
      <c r="F37" s="10"/>
      <c r="G37" s="10"/>
      <c r="H37" s="10"/>
      <c r="I37" s="10">
        <v>2892</v>
      </c>
      <c r="J37" s="10"/>
      <c r="K37" s="10"/>
      <c r="L37" s="10"/>
      <c r="M37" s="10"/>
      <c r="N37" s="17">
        <f t="shared" si="1"/>
        <v>2892</v>
      </c>
      <c r="O37" s="46" t="s">
        <v>55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4" customFormat="1" ht="27" customHeight="1">
      <c r="A38" s="13" t="s">
        <v>1</v>
      </c>
      <c r="B38" s="12">
        <f>B39+B40+B41+B42+B43+B44+B45+B46+B47+B48+B49+B50+B51+B59+B54</f>
        <v>5500</v>
      </c>
      <c r="C38" s="12">
        <f>C39+C40+C41+C42+C43+C44+C45+C46+C47+C48+C49+C50+C51+C59+C56</f>
        <v>42070.4</v>
      </c>
      <c r="D38" s="12">
        <f>D39+D40+D41+D42+D43+D44+D45+D46+D47+D48+D49+D50+D51+D52+D53+D54+D55+D56+D57+D58+D59</f>
        <v>77664</v>
      </c>
      <c r="E38" s="12">
        <f>E39+E40+E41+E42+E43+E44+E45+E46+E47+E48+E49+E50+E51+E59+E52</f>
        <v>0</v>
      </c>
      <c r="F38" s="12">
        <f>F39+F40+F41+F42+F43+F44+F45+F46+F47+F48+F49+F50+F51+F59+F52+F56</f>
        <v>4320</v>
      </c>
      <c r="G38" s="12">
        <f>G39+G40+G41+G42+G43+G44+G45+G46+G47+G48+G49+G50+G51+G59+G52+G53+G54+G56+G57</f>
        <v>47464</v>
      </c>
      <c r="H38" s="12">
        <f>H39+H40+H41+H42+H43+H44+H45+H46+H47+H48+H49+H50+H51+H59+H52+H56+H53</f>
        <v>34404</v>
      </c>
      <c r="I38" s="12">
        <f>I39+I40+I41+I42+I43+I44+I45+I46+I47+I48+I49+I50+I51+I59+I52+I56+I58</f>
        <v>30864</v>
      </c>
      <c r="J38" s="12">
        <f>J39+J40+J41+J42+J43+J44+J45+J46+J47+J48+J49+J50+J51+J59+J52+J56+J53</f>
        <v>29464</v>
      </c>
      <c r="K38" s="12">
        <f>K39+K40+K41+K42+K43+K44+K45+K46+K47+K48+K49+K50+K51+K59+K52+K56+K53</f>
        <v>47485.020000000004</v>
      </c>
      <c r="L38" s="12">
        <f>L39+L40+L41+L42+L43+L44+L45+L46+L47+L48+L49+L50+L51+L59+L52+L56+L53</f>
        <v>29938.98</v>
      </c>
      <c r="M38" s="12">
        <f>M39+M40+M41+M42+M43+M44+M45+M46+M47+M48+M49+M50+M51+M52+M53+M54+M55+M56+M57+M58+M59</f>
        <v>79824</v>
      </c>
      <c r="N38" s="12">
        <f>N39+N40+N41+N42+N43+N44+N45+N46+N47+N48+N49+N50+N51+N59+N52+N56+N53+N54</f>
        <v>428998.4</v>
      </c>
      <c r="O38" s="11" t="s"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27" customHeight="1">
      <c r="A39" s="9" t="s">
        <v>15</v>
      </c>
      <c r="B39" s="10"/>
      <c r="C39" s="10"/>
      <c r="D39" s="10"/>
      <c r="E39" s="10"/>
      <c r="F39" s="10"/>
      <c r="G39" s="10"/>
      <c r="H39" s="10">
        <f>5850+18084</f>
        <v>23934</v>
      </c>
      <c r="I39" s="10"/>
      <c r="J39" s="10"/>
      <c r="K39" s="10"/>
      <c r="L39" s="10"/>
      <c r="M39" s="10"/>
      <c r="N39" s="17">
        <f>B39+C39+D39+E39+F39+G39+H39+I39+J39+K39+L39+M39</f>
        <v>23934</v>
      </c>
      <c r="O39" s="46" t="s">
        <v>15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25.5" customHeight="1">
      <c r="A40" s="9" t="s">
        <v>16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7">
        <f t="shared" si="1"/>
        <v>0</v>
      </c>
      <c r="O40" s="46" t="s">
        <v>16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33" customHeight="1">
      <c r="A41" s="9" t="s">
        <v>82</v>
      </c>
      <c r="B41" s="10"/>
      <c r="C41" s="10"/>
      <c r="D41" s="10"/>
      <c r="E41" s="10"/>
      <c r="F41" s="10"/>
      <c r="G41" s="10">
        <v>43000</v>
      </c>
      <c r="H41" s="10"/>
      <c r="I41" s="10"/>
      <c r="J41" s="10"/>
      <c r="K41" s="10"/>
      <c r="L41" s="10"/>
      <c r="M41" s="10"/>
      <c r="N41" s="17">
        <f t="shared" si="1"/>
        <v>43000</v>
      </c>
      <c r="O41" s="46" t="s">
        <v>82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31.5" customHeight="1">
      <c r="A42" s="9" t="s">
        <v>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7">
        <f aca="true" t="shared" si="3" ref="N42:N78">B42+C42+D42+E42+F42+G42+H42+I42+J42+K42+L42+M42</f>
        <v>0</v>
      </c>
      <c r="O42" s="46" t="s">
        <v>69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33" customHeight="1">
      <c r="A43" s="9" t="s">
        <v>77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7">
        <f t="shared" si="3"/>
        <v>0</v>
      </c>
      <c r="O43" s="46" t="s">
        <v>77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30" customHeight="1">
      <c r="A44" s="9" t="s">
        <v>65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7">
        <f t="shared" si="3"/>
        <v>0</v>
      </c>
      <c r="O44" s="46" t="s">
        <v>65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1.5" customHeight="1">
      <c r="A45" s="9" t="s">
        <v>21</v>
      </c>
      <c r="B45" s="10"/>
      <c r="C45" s="10"/>
      <c r="D45" s="10"/>
      <c r="E45" s="10"/>
      <c r="F45" s="10"/>
      <c r="G45" s="10"/>
      <c r="H45" s="10">
        <v>3000</v>
      </c>
      <c r="I45" s="10"/>
      <c r="J45" s="10"/>
      <c r="K45" s="10"/>
      <c r="L45" s="10"/>
      <c r="M45" s="10"/>
      <c r="N45" s="17">
        <f t="shared" si="3"/>
        <v>3000</v>
      </c>
      <c r="O45" s="46" t="s">
        <v>21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28.5" customHeight="1">
      <c r="A46" s="9" t="s">
        <v>24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f>1200*2</f>
        <v>2400</v>
      </c>
      <c r="N46" s="17">
        <f t="shared" si="3"/>
        <v>2400</v>
      </c>
      <c r="O46" s="46" t="s">
        <v>24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30" customHeight="1">
      <c r="A47" s="9" t="s">
        <v>61</v>
      </c>
      <c r="B47" s="10"/>
      <c r="C47" s="10">
        <v>9000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7">
        <f t="shared" si="3"/>
        <v>9000</v>
      </c>
      <c r="O47" s="46" t="s">
        <v>61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43.5" customHeight="1">
      <c r="A48" s="9" t="s">
        <v>73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7">
        <f t="shared" si="3"/>
        <v>0</v>
      </c>
      <c r="O48" s="46" t="s">
        <v>73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22.5" customHeight="1">
      <c r="A49" s="9" t="s">
        <v>72</v>
      </c>
      <c r="B49" s="10"/>
      <c r="C49" s="10">
        <v>28160</v>
      </c>
      <c r="D49" s="10">
        <f>33440+28160</f>
        <v>61600</v>
      </c>
      <c r="E49" s="10"/>
      <c r="F49" s="10"/>
      <c r="G49" s="10"/>
      <c r="H49" s="10"/>
      <c r="I49" s="10">
        <v>26400</v>
      </c>
      <c r="J49" s="10"/>
      <c r="K49" s="10">
        <v>38720</v>
      </c>
      <c r="L49" s="10">
        <f>29920</f>
        <v>29920</v>
      </c>
      <c r="M49" s="10">
        <f>31680+36960</f>
        <v>68640</v>
      </c>
      <c r="N49" s="17">
        <f t="shared" si="3"/>
        <v>253440</v>
      </c>
      <c r="O49" s="46" t="s">
        <v>72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24" customHeight="1">
      <c r="A50" s="9" t="s">
        <v>46</v>
      </c>
      <c r="B50" s="10"/>
      <c r="C50" s="10">
        <v>4910.4</v>
      </c>
      <c r="D50" s="10">
        <f>4593.6+4910.4</f>
        <v>9504</v>
      </c>
      <c r="E50" s="10"/>
      <c r="F50" s="10">
        <v>4320</v>
      </c>
      <c r="G50" s="10">
        <f>4464</f>
        <v>4464</v>
      </c>
      <c r="H50" s="10">
        <v>4320</v>
      </c>
      <c r="I50" s="10">
        <v>4464</v>
      </c>
      <c r="J50" s="10">
        <v>4464</v>
      </c>
      <c r="K50" s="10">
        <f>4320+4445.02</f>
        <v>8765.02</v>
      </c>
      <c r="L50" s="10">
        <f>18.98</f>
        <v>18.98</v>
      </c>
      <c r="M50" s="10">
        <f>4320+4464</f>
        <v>8784</v>
      </c>
      <c r="N50" s="17">
        <f t="shared" si="3"/>
        <v>54014.4</v>
      </c>
      <c r="O50" s="46" t="s">
        <v>46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6" customFormat="1" ht="33" customHeight="1">
      <c r="A51" s="9" t="s">
        <v>66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7">
        <f t="shared" si="3"/>
        <v>0</v>
      </c>
      <c r="O51" s="46" t="s">
        <v>66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6" customFormat="1" ht="27" customHeight="1">
      <c r="A52" s="9" t="s">
        <v>54</v>
      </c>
      <c r="B52" s="10"/>
      <c r="C52" s="10"/>
      <c r="D52" s="10">
        <v>6560</v>
      </c>
      <c r="E52" s="10"/>
      <c r="F52" s="10"/>
      <c r="G52" s="10"/>
      <c r="H52" s="10"/>
      <c r="I52" s="10"/>
      <c r="J52" s="10"/>
      <c r="K52" s="10"/>
      <c r="L52" s="10"/>
      <c r="M52" s="10"/>
      <c r="N52" s="17">
        <f t="shared" si="3"/>
        <v>6560</v>
      </c>
      <c r="O52" s="46" t="s">
        <v>54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6" customFormat="1" ht="27" customHeight="1">
      <c r="A53" s="9" t="s">
        <v>87</v>
      </c>
      <c r="B53" s="10"/>
      <c r="C53" s="10"/>
      <c r="D53" s="10"/>
      <c r="E53" s="10"/>
      <c r="F53" s="10"/>
      <c r="G53" s="10"/>
      <c r="H53" s="10"/>
      <c r="I53" s="10"/>
      <c r="J53" s="10">
        <v>25000</v>
      </c>
      <c r="K53" s="10"/>
      <c r="L53" s="10"/>
      <c r="M53" s="10"/>
      <c r="N53" s="17">
        <f t="shared" si="3"/>
        <v>25000</v>
      </c>
      <c r="O53" s="46" t="s">
        <v>87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6" customFormat="1" ht="27" customHeight="1">
      <c r="A54" s="9" t="s">
        <v>70</v>
      </c>
      <c r="B54" s="10">
        <v>5500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7">
        <f t="shared" si="3"/>
        <v>5500</v>
      </c>
      <c r="O54" s="46" t="s">
        <v>70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6" customFormat="1" ht="46.5" customHeight="1">
      <c r="A55" s="9" t="s">
        <v>58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7">
        <f t="shared" si="3"/>
        <v>0</v>
      </c>
      <c r="O55" s="46" t="s">
        <v>58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6" customFormat="1" ht="28.5" customHeight="1">
      <c r="A56" s="9" t="s">
        <v>85</v>
      </c>
      <c r="B56" s="10"/>
      <c r="C56" s="10"/>
      <c r="D56" s="10"/>
      <c r="E56" s="10"/>
      <c r="F56" s="10"/>
      <c r="G56" s="10"/>
      <c r="H56" s="10">
        <f>1100+2050</f>
        <v>3150</v>
      </c>
      <c r="I56" s="10"/>
      <c r="J56" s="10"/>
      <c r="K56" s="10"/>
      <c r="L56" s="10"/>
      <c r="M56" s="10"/>
      <c r="N56" s="17">
        <f t="shared" si="3"/>
        <v>3150</v>
      </c>
      <c r="O56" s="46" t="s">
        <v>85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6" customFormat="1" ht="28.5" customHeight="1">
      <c r="A57" s="9" t="s">
        <v>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7">
        <f t="shared" si="3"/>
        <v>0</v>
      </c>
      <c r="O57" s="46" t="s">
        <v>78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6" customFormat="1" ht="18">
      <c r="A58" s="9" t="s">
        <v>68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7">
        <f t="shared" si="3"/>
        <v>0</v>
      </c>
      <c r="O58" s="46" t="s">
        <v>68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6" customFormat="1" ht="18">
      <c r="A59" s="9" t="s">
        <v>53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7">
        <f t="shared" si="3"/>
        <v>0</v>
      </c>
      <c r="O59" s="46" t="s">
        <v>53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4" customFormat="1" ht="34.5" customHeight="1">
      <c r="A60" s="13" t="s">
        <v>17</v>
      </c>
      <c r="B60" s="12">
        <f>B61+B62+B63+B64+B65+B66+B67</f>
        <v>0</v>
      </c>
      <c r="C60" s="12">
        <f>C61+C62+C63+C64+C65+C66+C67</f>
        <v>0</v>
      </c>
      <c r="D60" s="12">
        <f>D61+D62+D63+D64+D65+D66+D67</f>
        <v>0</v>
      </c>
      <c r="E60" s="12">
        <f>E61+E62+E63+E64+E65+E66+E67</f>
        <v>0</v>
      </c>
      <c r="F60" s="12">
        <f aca="true" t="shared" si="4" ref="F60:M60">F61+F62+F63+F64+F65+F66+F67</f>
        <v>0</v>
      </c>
      <c r="G60" s="12">
        <f t="shared" si="4"/>
        <v>0</v>
      </c>
      <c r="H60" s="12">
        <f>H61+H62+H63+H64+H65+H66+H67</f>
        <v>3750</v>
      </c>
      <c r="I60" s="12">
        <f t="shared" si="4"/>
        <v>0</v>
      </c>
      <c r="J60" s="12">
        <f t="shared" si="4"/>
        <v>0</v>
      </c>
      <c r="K60" s="12">
        <f t="shared" si="4"/>
        <v>44439</v>
      </c>
      <c r="L60" s="12">
        <f t="shared" si="4"/>
        <v>0</v>
      </c>
      <c r="M60" s="12">
        <f t="shared" si="4"/>
        <v>44438</v>
      </c>
      <c r="N60" s="17">
        <f t="shared" si="3"/>
        <v>92627</v>
      </c>
      <c r="O60" s="11" t="s">
        <v>17</v>
      </c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6" customFormat="1" ht="28.5" customHeight="1">
      <c r="A61" s="9" t="s">
        <v>38</v>
      </c>
      <c r="B61" s="10"/>
      <c r="C61" s="10"/>
      <c r="D61" s="10"/>
      <c r="E61" s="10"/>
      <c r="F61" s="10"/>
      <c r="G61" s="10"/>
      <c r="H61" s="10"/>
      <c r="I61" s="10"/>
      <c r="J61" s="10"/>
      <c r="K61" s="10">
        <v>35000</v>
      </c>
      <c r="L61" s="10"/>
      <c r="M61" s="10">
        <v>35000</v>
      </c>
      <c r="N61" s="17">
        <f t="shared" si="3"/>
        <v>70000</v>
      </c>
      <c r="O61" s="46" t="s">
        <v>38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" customFormat="1" ht="21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3"/>
        <v>0</v>
      </c>
      <c r="O62" s="46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6" customFormat="1" ht="25.5" customHeight="1">
      <c r="A63" s="9" t="s">
        <v>18</v>
      </c>
      <c r="B63" s="10"/>
      <c r="C63" s="10"/>
      <c r="D63" s="10"/>
      <c r="E63" s="10"/>
      <c r="F63" s="10"/>
      <c r="G63" s="10"/>
      <c r="H63" s="10"/>
      <c r="I63" s="10"/>
      <c r="J63" s="10"/>
      <c r="K63" s="10">
        <v>9439</v>
      </c>
      <c r="L63" s="10"/>
      <c r="M63" s="10">
        <v>9438</v>
      </c>
      <c r="N63" s="17">
        <f t="shared" si="3"/>
        <v>18877</v>
      </c>
      <c r="O63" s="46" t="s">
        <v>18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27" customHeight="1">
      <c r="A64" s="9" t="s">
        <v>22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3"/>
        <v>0</v>
      </c>
      <c r="O64" s="46" t="s">
        <v>22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6" customFormat="1" ht="31.5" customHeight="1">
      <c r="A65" s="9" t="s">
        <v>19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3"/>
        <v>0</v>
      </c>
      <c r="O65" s="46" t="s">
        <v>19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6" customFormat="1" ht="27" customHeight="1">
      <c r="A66" s="9" t="s">
        <v>20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7">
        <f t="shared" si="3"/>
        <v>0</v>
      </c>
      <c r="O66" s="46" t="s">
        <v>20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0" customHeight="1">
      <c r="A67" s="9" t="s">
        <v>23</v>
      </c>
      <c r="B67" s="10"/>
      <c r="C67" s="10"/>
      <c r="D67" s="10"/>
      <c r="E67" s="10"/>
      <c r="F67" s="10"/>
      <c r="G67" s="10"/>
      <c r="H67" s="10">
        <f>3750</f>
        <v>3750</v>
      </c>
      <c r="I67" s="10"/>
      <c r="J67" s="10"/>
      <c r="K67" s="10"/>
      <c r="L67" s="10"/>
      <c r="M67" s="10"/>
      <c r="N67" s="17">
        <f t="shared" si="3"/>
        <v>3750</v>
      </c>
      <c r="O67" s="46" t="s">
        <v>23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14" customFormat="1" ht="31.5" customHeight="1">
      <c r="A68" s="11" t="s">
        <v>4</v>
      </c>
      <c r="B68" s="12">
        <f>B69</f>
        <v>0</v>
      </c>
      <c r="C68" s="12">
        <f>C69</f>
        <v>0</v>
      </c>
      <c r="D68" s="12">
        <f>D69</f>
        <v>0</v>
      </c>
      <c r="E68" s="12">
        <f>E69</f>
        <v>0</v>
      </c>
      <c r="F68" s="12">
        <f>F69</f>
        <v>0</v>
      </c>
      <c r="G68" s="12">
        <f>G69+G70+G71+G72+G73</f>
        <v>28600</v>
      </c>
      <c r="H68" s="12">
        <f aca="true" t="shared" si="5" ref="H68:N68">H69+H70+H71+H72+H73</f>
        <v>18050</v>
      </c>
      <c r="I68" s="12">
        <f t="shared" si="5"/>
        <v>0</v>
      </c>
      <c r="J68" s="12">
        <f t="shared" si="5"/>
        <v>0</v>
      </c>
      <c r="K68" s="12">
        <f t="shared" si="5"/>
        <v>0</v>
      </c>
      <c r="L68" s="12">
        <f t="shared" si="5"/>
        <v>0</v>
      </c>
      <c r="M68" s="12">
        <f>M69+M70+M71+M72+M73</f>
        <v>79880</v>
      </c>
      <c r="N68" s="12">
        <f t="shared" si="5"/>
        <v>126530</v>
      </c>
      <c r="O68" s="11" t="s">
        <v>4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19.5" customHeight="1">
      <c r="A69" s="9" t="s">
        <v>76</v>
      </c>
      <c r="B69" s="10"/>
      <c r="C69" s="10"/>
      <c r="D69" s="10"/>
      <c r="E69" s="10"/>
      <c r="F69" s="10"/>
      <c r="G69" s="10"/>
      <c r="H69" s="10">
        <v>6600</v>
      </c>
      <c r="I69" s="10"/>
      <c r="J69" s="10"/>
      <c r="K69" s="10"/>
      <c r="L69" s="10"/>
      <c r="M69" s="10"/>
      <c r="N69" s="17">
        <f>B69+C69+D69+E69+F69+G69+H69+I69+J69+K69+L69+M69</f>
        <v>6600</v>
      </c>
      <c r="O69" s="46" t="s">
        <v>76</v>
      </c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6" customFormat="1" ht="27" customHeight="1">
      <c r="A70" s="9" t="s">
        <v>81</v>
      </c>
      <c r="B70" s="10"/>
      <c r="C70" s="10"/>
      <c r="D70" s="10"/>
      <c r="E70" s="10"/>
      <c r="F70" s="10"/>
      <c r="G70" s="10">
        <f>28600</f>
        <v>28600</v>
      </c>
      <c r="H70" s="10"/>
      <c r="I70" s="10"/>
      <c r="J70" s="10"/>
      <c r="K70" s="10"/>
      <c r="L70" s="10"/>
      <c r="M70" s="10"/>
      <c r="N70" s="17">
        <f>B70+C70+D70+E70+F70+G70+H70+I70+J70+K70+L70+M70</f>
        <v>28600</v>
      </c>
      <c r="O70" s="46" t="s">
        <v>81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6" customFormat="1" ht="27" customHeight="1">
      <c r="A71" s="9" t="s">
        <v>90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>
        <v>78350</v>
      </c>
      <c r="N71" s="17">
        <f>B71+C71+D71+E71+F71+G71+H71+I71+J71+K71+L71+M71</f>
        <v>78350</v>
      </c>
      <c r="O71" s="9" t="s">
        <v>90</v>
      </c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6" customFormat="1" ht="27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7">
        <f>B72+C72+D72+E72+F72+G72+H72+I72+J72+K72+L72+M72</f>
        <v>0</v>
      </c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6" customFormat="1" ht="28.5" customHeight="1">
      <c r="A73" s="9" t="s">
        <v>84</v>
      </c>
      <c r="B73" s="10"/>
      <c r="C73" s="10"/>
      <c r="D73" s="10"/>
      <c r="E73" s="10"/>
      <c r="F73" s="10"/>
      <c r="G73" s="10"/>
      <c r="H73" s="10">
        <v>11450</v>
      </c>
      <c r="I73" s="10"/>
      <c r="J73" s="10"/>
      <c r="K73" s="10"/>
      <c r="L73" s="10"/>
      <c r="M73" s="10">
        <v>1530</v>
      </c>
      <c r="N73" s="17">
        <f t="shared" si="3"/>
        <v>12980</v>
      </c>
      <c r="O73" s="46" t="s">
        <v>84</v>
      </c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14" customFormat="1" ht="34.5" customHeight="1">
      <c r="A74" s="13" t="s">
        <v>2</v>
      </c>
      <c r="B74" s="12">
        <f>B75+B76+B78+B84+B83</f>
        <v>0</v>
      </c>
      <c r="C74" s="12">
        <f>C75+C76+C78+C84+C83</f>
        <v>0</v>
      </c>
      <c r="D74" s="12">
        <f>D75+D76+D77+D78+D84+D79+D80+D81+D82+D83</f>
        <v>0</v>
      </c>
      <c r="E74" s="12">
        <f>E75+E76+E77+E78+E84+E79+E80+E81+E82+E83</f>
        <v>0</v>
      </c>
      <c r="F74" s="12">
        <f>F75+F76+F77+F78+F84+F79+F80+F81+F82+F83</f>
        <v>0</v>
      </c>
      <c r="G74" s="12">
        <f>G75+G76+G77+G78+G84+G79+G80+G81+G82+G83</f>
        <v>13662</v>
      </c>
      <c r="H74" s="12">
        <f>H75+H76+H77+H78+H79+H80+H81+H82+H83+H84</f>
        <v>0</v>
      </c>
      <c r="I74" s="12">
        <f>I75+I76+I78+I84+I83+I77+I81</f>
        <v>0</v>
      </c>
      <c r="J74" s="12">
        <f>J75+J76+J78+J84+J82+J83+J80+J77</f>
        <v>0</v>
      </c>
      <c r="K74" s="12">
        <f>K75+K76+K78+K84+K82+K83+K80+K77</f>
        <v>0</v>
      </c>
      <c r="L74" s="12">
        <f>L75+L76+L78+L84+L82+L83+L80+L77</f>
        <v>0</v>
      </c>
      <c r="M74" s="12">
        <f>M75+M76+M77+M78+M79+M80+M81+M82+M83+M84</f>
        <v>72930.81</v>
      </c>
      <c r="N74" s="17">
        <f>B74+C74+D74+E74+F74+G74+H74+I74+J74+K74+L74+M74</f>
        <v>86592.81</v>
      </c>
      <c r="O74" s="11" t="s">
        <v>2</v>
      </c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0" customHeight="1">
      <c r="A75" s="9" t="s">
        <v>75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3"/>
        <v>0</v>
      </c>
      <c r="O75" s="46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5.5" customHeight="1">
      <c r="A76" s="9" t="s">
        <v>92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>
        <v>12810</v>
      </c>
      <c r="N76" s="17">
        <f t="shared" si="3"/>
        <v>12810</v>
      </c>
      <c r="O76" s="46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4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7">
        <f t="shared" si="3"/>
        <v>0</v>
      </c>
      <c r="O77" s="46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9.25" customHeight="1">
      <c r="A78" s="9" t="s">
        <v>74</v>
      </c>
      <c r="B78" s="10"/>
      <c r="C78" s="10"/>
      <c r="D78" s="10"/>
      <c r="E78" s="10"/>
      <c r="F78" s="10"/>
      <c r="G78" s="10">
        <f>5750+7912</f>
        <v>13662</v>
      </c>
      <c r="H78" s="10"/>
      <c r="I78" s="10"/>
      <c r="J78" s="10"/>
      <c r="K78" s="10"/>
      <c r="L78" s="10"/>
      <c r="M78" s="10">
        <f>5100+26850.81+23660</f>
        <v>55610.81</v>
      </c>
      <c r="N78" s="17">
        <f t="shared" si="3"/>
        <v>69272.81</v>
      </c>
      <c r="O78" s="46" t="s">
        <v>74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9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>
        <f aca="true" t="shared" si="6" ref="N79:N84">B79+C79+D79+E79+F79+G79+H79+I79+J79+K79+L79+M79</f>
        <v>0</v>
      </c>
      <c r="O79" s="46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9.2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7">
        <f t="shared" si="6"/>
        <v>0</v>
      </c>
      <c r="O80" s="46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9.2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7">
        <f t="shared" si="6"/>
        <v>0</v>
      </c>
      <c r="O81" s="46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5.25" customHeight="1">
      <c r="A82" s="9" t="s">
        <v>91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>
        <v>4510</v>
      </c>
      <c r="N82" s="17">
        <f t="shared" si="6"/>
        <v>4510</v>
      </c>
      <c r="O82" s="46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5.2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7">
        <f t="shared" si="6"/>
        <v>0</v>
      </c>
      <c r="O83" s="46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7">
        <f t="shared" si="6"/>
        <v>0</v>
      </c>
      <c r="O84" s="46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14" customFormat="1" ht="34.5" customHeight="1">
      <c r="A85" s="13" t="s">
        <v>3</v>
      </c>
      <c r="B85" s="12">
        <f aca="true" t="shared" si="7" ref="B85:K85">B4+B7+B9+B10+B17+B38+B60+B68+B74</f>
        <v>64999.03</v>
      </c>
      <c r="C85" s="12">
        <f t="shared" si="7"/>
        <v>328626.97000000003</v>
      </c>
      <c r="D85" s="12">
        <f t="shared" si="7"/>
        <v>472365.24999999994</v>
      </c>
      <c r="E85" s="12">
        <f t="shared" si="7"/>
        <v>322321.26</v>
      </c>
      <c r="F85" s="12">
        <f t="shared" si="7"/>
        <v>328157.42</v>
      </c>
      <c r="G85" s="12">
        <f t="shared" si="7"/>
        <v>335546.69</v>
      </c>
      <c r="H85" s="12">
        <f t="shared" si="7"/>
        <v>255541.84</v>
      </c>
      <c r="I85" s="12">
        <f t="shared" si="7"/>
        <v>201831.78999999998</v>
      </c>
      <c r="J85" s="12">
        <f t="shared" si="7"/>
        <v>149436.08000000002</v>
      </c>
      <c r="K85" s="12">
        <f t="shared" si="7"/>
        <v>196600</v>
      </c>
      <c r="L85" s="12">
        <f>L4+L7+L8+L9+L10+L17+L38+L60+L68+L74</f>
        <v>234628.01</v>
      </c>
      <c r="M85" s="12">
        <f>M4+M7+M8+M9+M10+M17+M38+M60+M68+M74</f>
        <v>918945.6599999999</v>
      </c>
      <c r="N85" s="12">
        <f>N4+N7+N8+N9+N10+N17+N38+N60+N68+N74</f>
        <v>3809000.0000000005</v>
      </c>
      <c r="O85" s="11" t="s">
        <v>3</v>
      </c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14" customFormat="1" ht="34.5" customHeight="1">
      <c r="A86" s="13" t="s">
        <v>49</v>
      </c>
      <c r="B86" s="12">
        <f>45000+19999.03</f>
        <v>64999.03</v>
      </c>
      <c r="C86" s="12">
        <f>145000+183626.97</f>
        <v>328626.97</v>
      </c>
      <c r="D86" s="12">
        <f>145000+327365.25</f>
        <v>472365.25</v>
      </c>
      <c r="E86" s="12">
        <f>300000+163495.19</f>
        <v>463495.19</v>
      </c>
      <c r="F86" s="12">
        <f>50000+136983.49</f>
        <v>186983.49</v>
      </c>
      <c r="G86" s="12">
        <f>180000+155546.69</f>
        <v>335546.69</v>
      </c>
      <c r="H86" s="12">
        <f>233000+100589.84</f>
        <v>333589.83999999997</v>
      </c>
      <c r="I86" s="12">
        <f>60000+63783.79</f>
        <v>123783.79000000001</v>
      </c>
      <c r="J86" s="12">
        <f>75000+74436.08</f>
        <v>149436.08000000002</v>
      </c>
      <c r="K86" s="12">
        <f>147500+49100</f>
        <v>196600</v>
      </c>
      <c r="L86" s="12">
        <f>130000+129636.92</f>
        <v>259636.91999999998</v>
      </c>
      <c r="M86" s="12">
        <f>162400+731536.75</f>
        <v>893936.75</v>
      </c>
      <c r="N86" s="12">
        <f>SUM(B86:M86)</f>
        <v>3809000</v>
      </c>
      <c r="O86" s="11" t="s">
        <v>49</v>
      </c>
      <c r="P86" s="24" t="e">
        <f>O86-N86</f>
        <v>#VALUE!</v>
      </c>
      <c r="Q86" s="1"/>
      <c r="R86" s="1"/>
      <c r="S86" s="1"/>
      <c r="T86" s="1"/>
      <c r="U86" s="1"/>
      <c r="V86" s="1"/>
      <c r="W86" s="1"/>
      <c r="X86" s="1"/>
      <c r="Y86" s="1"/>
    </row>
    <row r="87" spans="1:25" s="14" customFormat="1" ht="34.5" customHeight="1">
      <c r="A87" s="13" t="s">
        <v>50</v>
      </c>
      <c r="B87" s="12">
        <f>B86-B85</f>
        <v>0</v>
      </c>
      <c r="C87" s="12">
        <f>B87+C86-C85</f>
        <v>0</v>
      </c>
      <c r="D87" s="12">
        <f>C87+D86-D85</f>
        <v>0</v>
      </c>
      <c r="E87" s="12">
        <f>D87+E86-E85</f>
        <v>141173.93</v>
      </c>
      <c r="F87" s="12">
        <f>E87+F86-F85</f>
        <v>0</v>
      </c>
      <c r="G87" s="12">
        <f>F87+G86-G85</f>
        <v>0</v>
      </c>
      <c r="H87" s="12">
        <f>G87+H86-H85</f>
        <v>78047.99999999997</v>
      </c>
      <c r="I87" s="12">
        <f>H87+I86-I85</f>
        <v>0</v>
      </c>
      <c r="J87" s="12">
        <f>I87+J86-J85</f>
        <v>0</v>
      </c>
      <c r="K87" s="12">
        <f>J87+K86-K85</f>
        <v>0</v>
      </c>
      <c r="L87" s="12">
        <f>K87+L86-L85</f>
        <v>25008.909999999974</v>
      </c>
      <c r="M87" s="12">
        <f>L87+M86-M85</f>
        <v>0</v>
      </c>
      <c r="N87" s="12">
        <f>N86-N85</f>
        <v>0</v>
      </c>
      <c r="O87" s="11" t="s">
        <v>50</v>
      </c>
      <c r="P87" s="34"/>
      <c r="Q87" s="1"/>
      <c r="R87" s="1"/>
      <c r="S87" s="1"/>
      <c r="T87" s="1"/>
      <c r="U87" s="1"/>
      <c r="V87" s="1"/>
      <c r="W87" s="1"/>
      <c r="X87" s="1"/>
      <c r="Y87" s="1"/>
    </row>
    <row r="88" spans="1:14" ht="18">
      <c r="A88" s="7" t="s">
        <v>28</v>
      </c>
      <c r="B88" s="3" t="s">
        <v>29</v>
      </c>
      <c r="D88" s="19"/>
      <c r="G88" s="19"/>
      <c r="H88" s="19"/>
      <c r="J88" s="19"/>
      <c r="K88" s="19"/>
      <c r="L88" s="19"/>
      <c r="M88" s="19"/>
      <c r="N88" s="19"/>
    </row>
    <row r="89" spans="3:14" ht="18">
      <c r="C89" s="19"/>
      <c r="D89" s="19"/>
      <c r="G89" s="19"/>
      <c r="I89" s="19"/>
      <c r="N89" s="19"/>
    </row>
    <row r="90" spans="1:13" ht="18">
      <c r="A90" s="7" t="s">
        <v>30</v>
      </c>
      <c r="B90" s="3" t="s">
        <v>31</v>
      </c>
      <c r="G90" s="19"/>
      <c r="H90" s="19"/>
      <c r="I90" s="19"/>
      <c r="J90" s="19"/>
      <c r="K90" s="19"/>
      <c r="L90" s="19"/>
      <c r="M90" s="19"/>
    </row>
    <row r="92" spans="8:14" ht="18">
      <c r="H92" s="3">
        <f>6048+72000</f>
        <v>78048</v>
      </c>
      <c r="M92" s="19"/>
      <c r="N92" s="19">
        <f>7626.74+75000</f>
        <v>82626.74</v>
      </c>
    </row>
    <row r="93" spans="13:14" ht="18">
      <c r="M93" s="19"/>
      <c r="N93" s="19"/>
    </row>
    <row r="94" spans="13:14" ht="18">
      <c r="M94" s="19"/>
      <c r="N94" s="19"/>
    </row>
    <row r="95" spans="13:14" ht="18">
      <c r="M95" s="19"/>
      <c r="N95" s="19"/>
    </row>
    <row r="96" spans="13:16" ht="18">
      <c r="M96" s="19"/>
      <c r="N96" s="19"/>
      <c r="P96" s="25"/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2020-08-03T07:52:58Z</cp:lastPrinted>
  <dcterms:created xsi:type="dcterms:W3CDTF">1996-10-08T23:32:33Z</dcterms:created>
  <dcterms:modified xsi:type="dcterms:W3CDTF">2021-01-08T08:01:55Z</dcterms:modified>
  <cp:category/>
  <cp:version/>
  <cp:contentType/>
  <cp:contentStatus/>
</cp:coreProperties>
</file>