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'!$A$1:$N$52</definedName>
  </definedNames>
  <calcPr fullCalcOnLoad="1"/>
</workbook>
</file>

<file path=xl/sharedStrings.xml><?xml version="1.0" encoding="utf-8"?>
<sst xmlns="http://schemas.openxmlformats.org/spreadsheetml/2006/main" count="61" uniqueCount="61">
  <si>
    <t>225 в.т.ч.</t>
  </si>
  <si>
    <t>226 в т.ч.</t>
  </si>
  <si>
    <t>340 в т.ч.</t>
  </si>
  <si>
    <t>ВСЕГО</t>
  </si>
  <si>
    <t xml:space="preserve">310 в т.ч. </t>
  </si>
  <si>
    <t>212 в т.ч.</t>
  </si>
  <si>
    <t>учебники</t>
  </si>
  <si>
    <t>канцел.товары</t>
  </si>
  <si>
    <t>211 в т.ч.</t>
  </si>
  <si>
    <t>итого</t>
  </si>
  <si>
    <t>зправка картриджей</t>
  </si>
  <si>
    <t>услуги парус</t>
  </si>
  <si>
    <t>январь</t>
  </si>
  <si>
    <t>Директор школы</t>
  </si>
  <si>
    <t>О.Н.Максимова</t>
  </si>
  <si>
    <t>Главный  бухгалтер</t>
  </si>
  <si>
    <t>Н.А.Замула</t>
  </si>
  <si>
    <t>февраль</t>
  </si>
  <si>
    <t>сдача отчетности пенс.и налог.с ЭЦП Контур</t>
  </si>
  <si>
    <t>март</t>
  </si>
  <si>
    <t>апрель</t>
  </si>
  <si>
    <t>май</t>
  </si>
  <si>
    <t>июнь</t>
  </si>
  <si>
    <t>лицензионное программное обеспечение(Парус)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</si>
  <si>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</si>
  <si>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</si>
  <si>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</si>
  <si>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</si>
  <si>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</si>
  <si>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</si>
  <si>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лицензионное программное обеспечение </t>
  </si>
  <si>
    <t>ФИНАНСИРОВАНИЕ</t>
  </si>
  <si>
    <t>Остаток на счете</t>
  </si>
  <si>
    <t>обучение педработников (курсы повыш.квалификации)</t>
  </si>
  <si>
    <t>ремонт огр.техники</t>
  </si>
  <si>
    <t>раб.тетради</t>
  </si>
  <si>
    <t>м/осмотр педработников</t>
  </si>
  <si>
    <t>з/плата гарантированная</t>
  </si>
  <si>
    <t>надбавки педработникам</t>
  </si>
  <si>
    <t>премии</t>
  </si>
  <si>
    <t>повышающий коэффициент</t>
  </si>
  <si>
    <t>командировочные расходы (суточные,проезд.проживание)</t>
  </si>
  <si>
    <t>АИС-Контингент</t>
  </si>
  <si>
    <t>АРМ по ЕГЭ</t>
  </si>
  <si>
    <t>учебные пособия</t>
  </si>
  <si>
    <t>оргтехника</t>
  </si>
  <si>
    <t>обслуживание сайта школы</t>
  </si>
  <si>
    <t>эл.школа</t>
  </si>
  <si>
    <t>диктофон на егэ</t>
  </si>
  <si>
    <t>компьютеры</t>
  </si>
  <si>
    <t>адапторы на интернет</t>
  </si>
  <si>
    <t>спортивный инвентарь</t>
  </si>
  <si>
    <t>хозтовары</t>
  </si>
  <si>
    <t>Парус онлайн</t>
  </si>
  <si>
    <t>МБОУ Ясиновская СОШ им. 30-й гв. Иркутско-Пинской дивизии</t>
  </si>
  <si>
    <t>ноутбук</t>
  </si>
  <si>
    <t>мат.помощь</t>
  </si>
  <si>
    <t>программа по заполнению аттестатов</t>
  </si>
  <si>
    <t>золотая медаль</t>
  </si>
  <si>
    <t>секрет нет студио</t>
  </si>
  <si>
    <t>Информация о расходовании средств областного бюджета (субвенции) за январь-ноябрь 2022 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</si>
</sst>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0" fontId="6" fillId="0" borderId="0" xfId="0" applyNumberFormat="1" applyFont="1" applyFill="1" applyBorder="1" applyAlignment="1">
      <alignment horizontal="center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4" borderId="11" xfId="0" applyNumberFormat="1" applyFont="1" applyFill="1" applyBorder="1" applyAlignment="1">
      <alignment horizontal="left" wrapText="1"/>
    </xf>
    <xf numFmtId="184" fontId="5" fillId="4" borderId="11" xfId="0" applyNumberFormat="1" applyFont="1" applyFill="1" applyBorder="1" applyAlignment="1">
      <alignment/>
    </xf>
    <xf numFmtId="183" fontId="5" fillId="4" borderId="11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4" fontId="5" fillId="4" borderId="11" xfId="0" applyNumberFormat="1" applyFont="1" applyFill="1" applyBorder="1" applyAlignment="1">
      <alignment wrapText="1"/>
    </xf>
    <xf numFmtId="183" fontId="6" fillId="0" borderId="0" xfId="0" applyNumberFormat="1" applyFont="1" applyFill="1" applyBorder="1" applyAlignment="1">
      <alignment horizontal="left" wrapText="1"/>
    </xf>
    <xf numFmtId="2" fontId="6" fillId="0" borderId="0" xfId="0" applyNumberFormat="1" applyFont="1" applyFill="1" applyBorder="1" applyAlignment="1">
      <alignment/>
    </xf>
    <xf numFmtId="184" fontId="5" fillId="4" borderId="0" xfId="0" applyNumberFormat="1" applyFont="1" applyFill="1" applyBorder="1" applyAlignment="1">
      <alignment/>
    </xf>
    <xf numFmtId="183" fontId="7" fillId="4" borderId="11" xfId="0" applyNumberFormat="1" applyFont="1" applyFill="1" applyBorder="1" applyAlignment="1">
      <alignment wrapText="1"/>
    </xf>
    <xf numFmtId="180" fontId="6" fillId="0" borderId="0" xfId="0" applyNumberFormat="1" applyFont="1" applyFill="1" applyBorder="1" applyAlignment="1">
      <alignment horizontal="center" wrapText="1"/>
    </xf>
    <xf numFmtId="184" fontId="5" fillId="0" borderId="11" xfId="0" applyNumberFormat="1" applyFont="1" applyFill="1" applyBorder="1" applyAlignment="1">
      <alignment wrapText="1"/>
    </xf>
    <xf numFmtId="180" fontId="5" fillId="0" borderId="12" xfId="0" applyNumberFormat="1" applyFont="1" applyFill="1" applyBorder="1" applyAlignment="1">
      <alignment horizontal="center" wrapText="1"/>
    </xf>
    <xf numFmtId="184" fontId="5" fillId="0" borderId="13" xfId="0" applyNumberFormat="1" applyFont="1" applyFill="1" applyBorder="1" applyAlignment="1">
      <alignment wrapText="1"/>
    </xf>
    <xf numFmtId="180" fontId="5" fillId="0" borderId="14" xfId="0" applyNumberFormat="1" applyFont="1" applyFill="1" applyBorder="1" applyAlignment="1">
      <alignment horizontal="center" wrapText="1"/>
    </xf>
    <xf numFmtId="180" fontId="6" fillId="0" borderId="0" xfId="0" applyNumberFormat="1" applyFont="1" applyFill="1" applyBorder="1" applyAlignment="1">
      <alignment horizontal="center" wrapText="1"/>
    </xf>
    <xf numFmtId="180" fontId="6" fillId="0" borderId="0" xfId="0" applyNumberFormat="1" applyFont="1" applyFill="1" applyBorder="1" applyAlignment="1">
      <alignment horizontal="center"/>
    </xf>
    <xf numFmtId="183" fontId="6" fillId="0" borderId="0" xfId="0" applyNumberFormat="1" applyFont="1" applyFill="1" applyBorder="1" applyAlignment="1">
      <alignment wrapText="1"/>
    </xf>
    <xf numFmtId="4" fontId="0" fillId="0" borderId="0" xfId="0" applyNumberForma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6"/>
  <sheetViews>
    <sheetView tabSelected="1" view="pageBreakPreview" zoomScale="75" zoomScaleNormal="50" zoomScaleSheetLayoutView="75" zoomScalePageLayoutView="0" workbookViewId="0" topLeftCell="I1">
      <selection activeCell="P6" sqref="P6"/>
    </sheetView>
  </sheetViews>
  <sheetFormatPr defaultColWidth="9.140625" defaultRowHeight="12.75"/>
  <cols>
    <col min="1" max="1" width="78.421875" style="7" customWidth="1"/>
    <col min="2" max="2" width="20.57421875" style="3" customWidth="1"/>
    <col min="3" max="3" width="19.57421875" style="3" customWidth="1"/>
    <col min="4" max="4" width="23.28125" style="3" customWidth="1"/>
    <col min="5" max="5" width="21.7109375" style="3" customWidth="1"/>
    <col min="6" max="6" width="21.00390625" style="3" customWidth="1"/>
    <col min="7" max="7" width="20.8515625" style="3" customWidth="1"/>
    <col min="8" max="8" width="22.8515625" style="3" customWidth="1"/>
    <col min="9" max="9" width="18.00390625" style="3" customWidth="1"/>
    <col min="10" max="10" width="19.28125" style="3" customWidth="1"/>
    <col min="11" max="11" width="21.28125" style="3" customWidth="1"/>
    <col min="12" max="12" width="20.00390625" style="3" customWidth="1"/>
    <col min="13" max="13" width="23.00390625" style="3" customWidth="1"/>
    <col min="14" max="14" width="22.7109375" style="3" customWidth="1"/>
    <col min="15" max="15" width="68.7109375" style="2" customWidth="1"/>
    <col min="16" max="16" width="15.421875" style="2" customWidth="1"/>
    <col min="17" max="17" width="10.140625" style="2" customWidth="1"/>
    <col min="18" max="16384" width="9.140625" style="2" customWidth="1"/>
  </cols>
  <sheetData>
    <row r="1" spans="1:14" ht="54.75" customHeight="1">
      <c r="A1" s="28" t="s">
        <v>60</v>
      </c>
      <c r="B1" s="2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1.75" customHeight="1">
      <c r="A2" s="26" t="s">
        <v>54</v>
      </c>
      <c r="B2" s="2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21.75" customHeight="1">
      <c r="A3" s="21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25" s="4" customFormat="1" ht="31.5" customHeight="1">
      <c r="A4" s="9"/>
      <c r="B4" s="23" t="s">
        <v>12</v>
      </c>
      <c r="C4" s="23" t="s">
        <v>17</v>
      </c>
      <c r="D4" s="23" t="s">
        <v>19</v>
      </c>
      <c r="E4" s="23" t="s">
        <v>20</v>
      </c>
      <c r="F4" s="23" t="s">
        <v>21</v>
      </c>
      <c r="G4" s="23" t="s">
        <v>22</v>
      </c>
      <c r="H4" s="23" t="s">
        <v>24</v>
      </c>
      <c r="I4" s="23" t="s">
        <v>25</v>
      </c>
      <c r="J4" s="23" t="s">
        <v>26</v>
      </c>
      <c r="K4" s="23" t="s">
        <v>27</v>
      </c>
      <c r="L4" s="23" t="s">
        <v>28</v>
      </c>
      <c r="M4" s="23" t="s">
        <v>29</v>
      </c>
      <c r="N4" s="25" t="s">
        <v>9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s="15" customFormat="1" ht="24" customHeight="1">
      <c r="A5" s="12" t="s">
        <v>8</v>
      </c>
      <c r="B5" s="16">
        <f>B6+B7+B8+B10</f>
        <v>400896.78</v>
      </c>
      <c r="C5" s="16">
        <f aca="true" t="shared" si="0" ref="C5:J5">C6+C7+C8+C10</f>
        <v>812813.08</v>
      </c>
      <c r="D5" s="16">
        <f>D6+D7+D8+D10</f>
        <v>713526.37</v>
      </c>
      <c r="E5" s="16">
        <f>E6+E7+E8+E10+E9</f>
        <v>812030.64</v>
      </c>
      <c r="F5" s="16">
        <f t="shared" si="0"/>
        <v>1089788.6500000001</v>
      </c>
      <c r="G5" s="16">
        <f t="shared" si="0"/>
        <v>2052828.5699999998</v>
      </c>
      <c r="H5" s="16">
        <f t="shared" si="0"/>
        <v>465917.74000000005</v>
      </c>
      <c r="I5" s="16">
        <f t="shared" si="0"/>
        <v>0</v>
      </c>
      <c r="J5" s="16">
        <f t="shared" si="0"/>
        <v>637322.5700000001</v>
      </c>
      <c r="K5" s="16">
        <f>K6+K7+K8+K10</f>
        <v>693272.6</v>
      </c>
      <c r="L5" s="16">
        <f>L6+L7+L8+L10</f>
        <v>919493.8799999999</v>
      </c>
      <c r="M5" s="16">
        <f>M6+M7+M8+M9+M10</f>
        <v>1288745.6099999999</v>
      </c>
      <c r="N5" s="16">
        <f aca="true" t="shared" si="1" ref="N5:N11">B5+C5+D5+E5+F5+G5+H5+I5+J5+K5+L5+M5</f>
        <v>9886636.489999998</v>
      </c>
      <c r="O5" s="12" t="str">
        <f>A5</f>
        <v>211 в т.ч.</v>
      </c>
      <c r="P5" s="29">
        <f>N5+N14</f>
        <v>13005455.829999998</v>
      </c>
      <c r="Q5" s="1"/>
      <c r="R5" s="1"/>
      <c r="S5" s="1"/>
      <c r="T5" s="1"/>
      <c r="U5" s="1"/>
      <c r="V5" s="1"/>
      <c r="W5" s="1"/>
      <c r="X5" s="1"/>
      <c r="Y5" s="1"/>
    </row>
    <row r="6" spans="1:25" s="15" customFormat="1" ht="24" customHeight="1">
      <c r="A6" s="10" t="s">
        <v>37</v>
      </c>
      <c r="B6" s="22">
        <f>100000+300896.78</f>
        <v>400896.78</v>
      </c>
      <c r="C6" s="22">
        <f>369506.62+20000+4261.08+411155.42+7889.96</f>
        <v>812813.08</v>
      </c>
      <c r="D6" s="22">
        <f>213120.64+396516.56+100000+1000+2889.17</f>
        <v>713526.37</v>
      </c>
      <c r="E6" s="22">
        <f>369015.65+84855+30000+3680.85+324479.14-19709.1</f>
        <v>792321.54</v>
      </c>
      <c r="F6" s="22">
        <f>387111.26+346468.38+142495.65+99950.55+110000+3762.81-F8</f>
        <v>1083218.9500000002</v>
      </c>
      <c r="G6" s="22">
        <f>100000+320000+5599.48+5873.81+314847.79+5743.04+316279.33+861969.5+122515.62-G8</f>
        <v>2039689.17</v>
      </c>
      <c r="H6" s="22">
        <f>89816.13+122765.81+202928.1+23826.14+25327.02+1254.54</f>
        <v>465917.74000000005</v>
      </c>
      <c r="I6" s="22"/>
      <c r="J6" s="22">
        <f>193379.59+339403.06+1539.92+3000+100000-J8</f>
        <v>629610.31</v>
      </c>
      <c r="K6" s="22">
        <f>348475.73+344796.87</f>
        <v>693272.6</v>
      </c>
      <c r="L6" s="22">
        <f>(369456.35+70000+3520.77+100000+11252.96+365263.8)-L8</f>
        <v>905828.8799999999</v>
      </c>
      <c r="M6" s="22">
        <f>2218.61+337476.07+408281.49+440740.23+81028+3732.91+50000+4065.8-21681.1-17116.4</f>
        <v>1288745.6099999999</v>
      </c>
      <c r="N6" s="22">
        <f t="shared" si="1"/>
        <v>9825841.030000001</v>
      </c>
      <c r="O6" s="12" t="str">
        <f aca="true" t="shared" si="2" ref="O6:O51">A6</f>
        <v>з/плата гарантированная</v>
      </c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s="15" customFormat="1" ht="24" customHeight="1">
      <c r="A7" s="10" t="s">
        <v>38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>
        <f t="shared" si="1"/>
        <v>0</v>
      </c>
      <c r="O7" s="12" t="str">
        <f t="shared" si="2"/>
        <v>надбавки педработникам</v>
      </c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s="15" customFormat="1" ht="24" customHeight="1">
      <c r="A8" s="10" t="s">
        <v>40</v>
      </c>
      <c r="B8" s="22"/>
      <c r="C8" s="22"/>
      <c r="D8" s="22"/>
      <c r="E8" s="22">
        <f>6569.7*3</f>
        <v>19709.1</v>
      </c>
      <c r="F8" s="22">
        <v>6569.7</v>
      </c>
      <c r="G8" s="22">
        <f>6569.7*2</f>
        <v>13139.4</v>
      </c>
      <c r="H8" s="22"/>
      <c r="I8" s="22"/>
      <c r="J8" s="22">
        <f>6569.7+1142.56</f>
        <v>7712.26</v>
      </c>
      <c r="K8" s="22"/>
      <c r="L8" s="22">
        <f>6832.5*2</f>
        <v>13665</v>
      </c>
      <c r="M8" s="22"/>
      <c r="N8" s="22">
        <f t="shared" si="1"/>
        <v>60795.46</v>
      </c>
      <c r="O8" s="12" t="str">
        <f t="shared" si="2"/>
        <v>повышающий коэффициент</v>
      </c>
      <c r="P8" s="1">
        <f>5226*4+3396.9+5226*2+2953.83+16984.5+3527.55+13124.39+3527.55+16237.93+2643.03+16984.5+4412.07</f>
        <v>115148.25000000003</v>
      </c>
      <c r="Q8" s="1">
        <f>P8-85882.65</f>
        <v>29265.600000000035</v>
      </c>
      <c r="R8" s="1"/>
      <c r="S8" s="1"/>
      <c r="T8" s="1"/>
      <c r="U8" s="1"/>
      <c r="V8" s="1"/>
      <c r="W8" s="1"/>
      <c r="X8" s="1"/>
      <c r="Y8" s="1"/>
    </row>
    <row r="9" spans="1:25" s="15" customFormat="1" ht="24" customHeight="1">
      <c r="A9" s="10" t="s">
        <v>56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>
        <f t="shared" si="1"/>
        <v>0</v>
      </c>
      <c r="O9" s="12" t="str">
        <f t="shared" si="2"/>
        <v>мат.помощь</v>
      </c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s="15" customFormat="1" ht="24" customHeight="1">
      <c r="A10" s="10" t="s">
        <v>39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>
        <f t="shared" si="1"/>
        <v>0</v>
      </c>
      <c r="O10" s="12" t="str">
        <f t="shared" si="2"/>
        <v>премии</v>
      </c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s="15" customFormat="1" ht="31.5" customHeight="1">
      <c r="A11" s="12" t="s">
        <v>5</v>
      </c>
      <c r="B11" s="13">
        <f aca="true" t="shared" si="3" ref="B11:I11">B12+B13</f>
        <v>0</v>
      </c>
      <c r="C11" s="13">
        <f t="shared" si="3"/>
        <v>0</v>
      </c>
      <c r="D11" s="13">
        <f>D12</f>
        <v>0</v>
      </c>
      <c r="E11" s="13">
        <f t="shared" si="3"/>
        <v>0</v>
      </c>
      <c r="F11" s="13">
        <f t="shared" si="3"/>
        <v>0</v>
      </c>
      <c r="G11" s="13">
        <f t="shared" si="3"/>
        <v>0</v>
      </c>
      <c r="H11" s="13">
        <f t="shared" si="3"/>
        <v>0</v>
      </c>
      <c r="I11" s="13">
        <f t="shared" si="3"/>
        <v>0</v>
      </c>
      <c r="J11" s="13">
        <f>J12+J13</f>
        <v>0</v>
      </c>
      <c r="K11" s="13">
        <f>K12+K13</f>
        <v>0</v>
      </c>
      <c r="L11" s="13">
        <f>L12+L13</f>
        <v>0</v>
      </c>
      <c r="M11" s="13">
        <f>M12+M13</f>
        <v>0</v>
      </c>
      <c r="N11" s="16">
        <f t="shared" si="1"/>
        <v>0</v>
      </c>
      <c r="O11" s="12" t="str">
        <f t="shared" si="2"/>
        <v>212 в т.ч.</v>
      </c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43.5" customHeight="1">
      <c r="A12" s="10" t="s">
        <v>41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6">
        <f aca="true" t="shared" si="4" ref="N12:N18">B12+C12+D12+E12+F12+G12+H12+I12+J12+K12+L12+M12</f>
        <v>0</v>
      </c>
      <c r="O12" s="12" t="str">
        <f t="shared" si="2"/>
        <v>командировочные расходы (суточные,проезд.проживание)</v>
      </c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8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6">
        <f t="shared" si="4"/>
        <v>0</v>
      </c>
      <c r="O13" s="12">
        <f t="shared" si="2"/>
        <v>0</v>
      </c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s="15" customFormat="1" ht="18">
      <c r="A14" s="12">
        <v>213</v>
      </c>
      <c r="B14" s="13">
        <f>22000+126631.53</f>
        <v>148631.53</v>
      </c>
      <c r="C14" s="13">
        <f>1900+27000+47000+201000</f>
        <v>276900</v>
      </c>
      <c r="D14" s="22">
        <f>1400+21000+35000+153000</f>
        <v>210400</v>
      </c>
      <c r="E14" s="13">
        <f>1500+22000+40000+50000+120000</f>
        <v>233500</v>
      </c>
      <c r="F14" s="13">
        <f>1800+24000+42000+140000+43000</f>
        <v>250800</v>
      </c>
      <c r="G14" s="13">
        <f>45000+70000+300000+42400+75000+357914.62</f>
        <v>890314.62</v>
      </c>
      <c r="H14" s="13">
        <f>50+500+5300+9000+987.56</f>
        <v>15837.56</v>
      </c>
      <c r="I14" s="13"/>
      <c r="J14" s="13">
        <f>10600+100000+10600+20000+103166.57</f>
        <v>244366.57</v>
      </c>
      <c r="K14" s="13">
        <f>7600+7000+29000</f>
        <v>43600</v>
      </c>
      <c r="L14" s="13">
        <f>1800+27000+47000+200000+243894.38</f>
        <v>519694.38</v>
      </c>
      <c r="M14" s="13">
        <f>27000+45000+1568.09+26300+46000+150623.43-6547.69-5169.15</f>
        <v>284774.68</v>
      </c>
      <c r="N14" s="16">
        <f t="shared" si="4"/>
        <v>3118819.34</v>
      </c>
      <c r="O14" s="12">
        <f t="shared" si="2"/>
        <v>213</v>
      </c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s="15" customFormat="1" ht="18">
      <c r="A15" s="12">
        <v>221</v>
      </c>
      <c r="B15" s="13">
        <v>30.24</v>
      </c>
      <c r="C15" s="13">
        <f>5311.92</f>
        <v>5311.92</v>
      </c>
      <c r="D15" s="13"/>
      <c r="E15" s="13">
        <v>1548.6</v>
      </c>
      <c r="F15" s="13">
        <v>1583.88</v>
      </c>
      <c r="G15" s="13">
        <v>1614.12</v>
      </c>
      <c r="H15" s="13">
        <f>3156</f>
        <v>3156</v>
      </c>
      <c r="I15" s="13">
        <v>1611.6</v>
      </c>
      <c r="J15" s="13">
        <f>1068.96</f>
        <v>1068.96</v>
      </c>
      <c r="K15" s="13">
        <f>1604.04</f>
        <v>1604.04</v>
      </c>
      <c r="L15" s="13">
        <v>1770.1</v>
      </c>
      <c r="M15" s="13">
        <v>1689.71</v>
      </c>
      <c r="N15" s="16">
        <f t="shared" si="4"/>
        <v>20989.17</v>
      </c>
      <c r="O15" s="12">
        <f t="shared" si="2"/>
        <v>221</v>
      </c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s="15" customFormat="1" ht="27" customHeight="1">
      <c r="A16" s="14" t="s">
        <v>0</v>
      </c>
      <c r="B16" s="13">
        <f aca="true" t="shared" si="5" ref="B16:M16">B17+B18</f>
        <v>0</v>
      </c>
      <c r="C16" s="13">
        <f t="shared" si="5"/>
        <v>0</v>
      </c>
      <c r="D16" s="13">
        <f t="shared" si="5"/>
        <v>0</v>
      </c>
      <c r="E16" s="13">
        <f t="shared" si="5"/>
        <v>12000</v>
      </c>
      <c r="F16" s="13">
        <f t="shared" si="5"/>
        <v>0</v>
      </c>
      <c r="G16" s="13">
        <f t="shared" si="5"/>
        <v>0</v>
      </c>
      <c r="H16" s="13">
        <f t="shared" si="5"/>
        <v>0</v>
      </c>
      <c r="I16" s="13">
        <f t="shared" si="5"/>
        <v>12000</v>
      </c>
      <c r="J16" s="13">
        <f t="shared" si="5"/>
        <v>0</v>
      </c>
      <c r="K16" s="13">
        <f>K17+K18</f>
        <v>0</v>
      </c>
      <c r="L16" s="13">
        <f>L17+L18</f>
        <v>0</v>
      </c>
      <c r="M16" s="13">
        <f t="shared" si="5"/>
        <v>15000</v>
      </c>
      <c r="N16" s="16">
        <f t="shared" si="4"/>
        <v>39000</v>
      </c>
      <c r="O16" s="12" t="str">
        <f t="shared" si="2"/>
        <v>225 в.т.ч.</v>
      </c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5.5" customHeight="1">
      <c r="A17" s="10" t="s">
        <v>10</v>
      </c>
      <c r="B17" s="11"/>
      <c r="C17" s="11"/>
      <c r="D17" s="11"/>
      <c r="E17" s="11">
        <v>12000</v>
      </c>
      <c r="F17" s="11"/>
      <c r="G17" s="11"/>
      <c r="H17" s="11"/>
      <c r="I17" s="11">
        <v>12000</v>
      </c>
      <c r="J17" s="11"/>
      <c r="K17" s="11"/>
      <c r="L17" s="11"/>
      <c r="M17" s="11">
        <v>15000</v>
      </c>
      <c r="N17" s="16">
        <f t="shared" si="4"/>
        <v>39000</v>
      </c>
      <c r="O17" s="12" t="str">
        <f t="shared" si="2"/>
        <v>зправка картриджей</v>
      </c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4" customHeight="1">
      <c r="A18" s="10" t="s">
        <v>34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6">
        <f t="shared" si="4"/>
        <v>0</v>
      </c>
      <c r="O18" s="12" t="str">
        <f t="shared" si="2"/>
        <v>ремонт огр.техники</v>
      </c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s="15" customFormat="1" ht="31.5" customHeight="1">
      <c r="A19" s="14" t="s">
        <v>1</v>
      </c>
      <c r="B19" s="13">
        <f>B20+B21+B22+B23+B24+B25+B26+B27+B28+B29+B32+B31</f>
        <v>0</v>
      </c>
      <c r="C19" s="13">
        <f>C20+C21+C22+C23+C24+C25+C26+C27+C28+C29+C32+C31</f>
        <v>6870</v>
      </c>
      <c r="D19" s="13">
        <f>D25+D29+D30+D32</f>
        <v>31150</v>
      </c>
      <c r="E19" s="13">
        <f aca="true" t="shared" si="6" ref="E19:K19">E20+E21+E22+E23+E24+E25+E26+E27+E28+E29+E32+E31</f>
        <v>12970</v>
      </c>
      <c r="F19" s="13">
        <f t="shared" si="6"/>
        <v>14070</v>
      </c>
      <c r="G19" s="13">
        <f t="shared" si="6"/>
        <v>26070</v>
      </c>
      <c r="H19" s="13">
        <f t="shared" si="6"/>
        <v>40517</v>
      </c>
      <c r="I19" s="13">
        <f t="shared" si="6"/>
        <v>21170</v>
      </c>
      <c r="J19" s="13">
        <f t="shared" si="6"/>
        <v>15270</v>
      </c>
      <c r="K19" s="13">
        <f t="shared" si="6"/>
        <v>5370</v>
      </c>
      <c r="L19" s="13">
        <f>L20+L21+L22+L23+L24+L25+L26+L27+L28+L29+L32+L31</f>
        <v>28370</v>
      </c>
      <c r="M19" s="13">
        <f>M20+M21+M22+M23+M24+M25+M26+M27+M28+M29+M32+M31</f>
        <v>40940</v>
      </c>
      <c r="N19" s="13">
        <f>N20+N21+N22+N23+N24+N25+N26+N27+N28+N29+N30+N31+N32</f>
        <v>242767</v>
      </c>
      <c r="O19" s="12" t="str">
        <f t="shared" si="2"/>
        <v>226 в т.ч.</v>
      </c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s="6" customFormat="1" ht="25.5" customHeight="1">
      <c r="A20" s="10" t="s">
        <v>23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>
        <v>20000</v>
      </c>
      <c r="M20" s="11"/>
      <c r="N20" s="16">
        <f aca="true" t="shared" si="7" ref="N20:N48">B20+C20+D20+E20+F20+G20+H20+I20+J20+K20+L20+M20</f>
        <v>20000</v>
      </c>
      <c r="O20" s="12" t="str">
        <f t="shared" si="2"/>
        <v>лицензионное программное обеспечение(Парус)</v>
      </c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s="6" customFormat="1" ht="25.5" customHeight="1">
      <c r="A21" s="10" t="s">
        <v>57</v>
      </c>
      <c r="B21" s="11"/>
      <c r="C21" s="11"/>
      <c r="D21" s="11"/>
      <c r="E21" s="11">
        <v>1200</v>
      </c>
      <c r="F21" s="11"/>
      <c r="G21" s="11"/>
      <c r="H21" s="11"/>
      <c r="I21" s="11"/>
      <c r="J21" s="11"/>
      <c r="K21" s="11"/>
      <c r="L21" s="11"/>
      <c r="M21" s="11"/>
      <c r="N21" s="16">
        <f t="shared" si="7"/>
        <v>1200</v>
      </c>
      <c r="O21" s="12" t="str">
        <f t="shared" si="2"/>
        <v>программа по заполнению аттестатов</v>
      </c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s="6" customFormat="1" ht="22.5" customHeight="1">
      <c r="A22" s="10" t="s">
        <v>11</v>
      </c>
      <c r="B22" s="11"/>
      <c r="C22" s="11"/>
      <c r="D22" s="11"/>
      <c r="E22" s="11">
        <v>4900</v>
      </c>
      <c r="F22" s="11"/>
      <c r="G22" s="11"/>
      <c r="H22" s="11"/>
      <c r="I22" s="11"/>
      <c r="J22" s="11">
        <v>8400</v>
      </c>
      <c r="K22" s="11"/>
      <c r="L22" s="11"/>
      <c r="M22" s="11">
        <f>6300+22400</f>
        <v>28700</v>
      </c>
      <c r="N22" s="16">
        <f t="shared" si="7"/>
        <v>42000</v>
      </c>
      <c r="O22" s="12" t="str">
        <f t="shared" si="2"/>
        <v>услуги парус</v>
      </c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s="6" customFormat="1" ht="22.5" customHeight="1">
      <c r="A23" s="1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6">
        <f t="shared" si="7"/>
        <v>0</v>
      </c>
      <c r="O23" s="12" t="str">
        <f t="shared" si="2"/>
        <v>АИС-Контингент</v>
      </c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s="6" customFormat="1" ht="22.5" customHeight="1">
      <c r="A24" s="10" t="s">
        <v>43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6">
        <f t="shared" si="7"/>
        <v>0</v>
      </c>
      <c r="O24" s="12" t="str">
        <f t="shared" si="2"/>
        <v>АРМ по ЕГЭ</v>
      </c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s="6" customFormat="1" ht="28.5" customHeight="1">
      <c r="A25" s="10" t="s">
        <v>47</v>
      </c>
      <c r="B25" s="11"/>
      <c r="C25" s="11">
        <v>5370</v>
      </c>
      <c r="D25" s="11">
        <v>5370</v>
      </c>
      <c r="E25" s="11">
        <v>5370</v>
      </c>
      <c r="F25" s="11">
        <v>5370</v>
      </c>
      <c r="G25" s="11">
        <v>5370</v>
      </c>
      <c r="H25" s="11">
        <v>5370</v>
      </c>
      <c r="I25" s="11">
        <v>5370</v>
      </c>
      <c r="J25" s="11">
        <v>5370</v>
      </c>
      <c r="K25" s="11">
        <v>5370</v>
      </c>
      <c r="L25" s="11">
        <v>5370</v>
      </c>
      <c r="M25" s="11">
        <f>5370*2</f>
        <v>10740</v>
      </c>
      <c r="N25" s="16">
        <f t="shared" si="7"/>
        <v>64440</v>
      </c>
      <c r="O25" s="12" t="str">
        <f t="shared" si="2"/>
        <v>эл.школа</v>
      </c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s="6" customFormat="1" ht="30" customHeight="1">
      <c r="A26" s="10" t="s">
        <v>30</v>
      </c>
      <c r="B26" s="11"/>
      <c r="C26" s="11"/>
      <c r="D26" s="11"/>
      <c r="E26" s="11"/>
      <c r="F26" s="11"/>
      <c r="G26" s="11"/>
      <c r="H26" s="11"/>
      <c r="I26" s="11">
        <f>9500+3300</f>
        <v>12800</v>
      </c>
      <c r="J26" s="11"/>
      <c r="K26" s="11"/>
      <c r="L26" s="11"/>
      <c r="M26" s="11"/>
      <c r="N26" s="16">
        <f t="shared" si="7"/>
        <v>12800</v>
      </c>
      <c r="O26" s="12" t="str">
        <f t="shared" si="2"/>
        <v>лицензионное программное обеспечение </v>
      </c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s="6" customFormat="1" ht="30" customHeight="1">
      <c r="A27" s="10" t="s">
        <v>36</v>
      </c>
      <c r="B27" s="11"/>
      <c r="C27" s="11"/>
      <c r="D27" s="11"/>
      <c r="E27" s="11"/>
      <c r="F27" s="11">
        <v>7200</v>
      </c>
      <c r="G27" s="11"/>
      <c r="H27" s="11">
        <v>35147</v>
      </c>
      <c r="I27" s="11"/>
      <c r="J27" s="11"/>
      <c r="K27" s="11"/>
      <c r="L27" s="11"/>
      <c r="M27" s="11"/>
      <c r="N27" s="16">
        <f t="shared" si="7"/>
        <v>42347</v>
      </c>
      <c r="O27" s="12" t="str">
        <f t="shared" si="2"/>
        <v>м/осмотр педработников</v>
      </c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s="6" customFormat="1" ht="19.5" customHeight="1">
      <c r="A28" s="10" t="s">
        <v>33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6">
        <f t="shared" si="7"/>
        <v>0</v>
      </c>
      <c r="O28" s="12" t="str">
        <f t="shared" si="2"/>
        <v>обучение педработников (курсы повыш.квалификации)</v>
      </c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s="6" customFormat="1" ht="19.5" customHeight="1">
      <c r="A29" s="10" t="s">
        <v>46</v>
      </c>
      <c r="B29" s="11"/>
      <c r="C29" s="11">
        <v>1500</v>
      </c>
      <c r="D29" s="11">
        <f>1500*2</f>
        <v>3000</v>
      </c>
      <c r="E29" s="11">
        <v>1500</v>
      </c>
      <c r="F29" s="11">
        <v>1500</v>
      </c>
      <c r="G29" s="11">
        <v>1500</v>
      </c>
      <c r="H29" s="11"/>
      <c r="I29" s="11">
        <f>1500*2</f>
        <v>3000</v>
      </c>
      <c r="J29" s="11">
        <v>1500</v>
      </c>
      <c r="K29" s="11"/>
      <c r="L29" s="11">
        <f>1500*2</f>
        <v>3000</v>
      </c>
      <c r="M29" s="11">
        <v>1500</v>
      </c>
      <c r="N29" s="16">
        <f t="shared" si="7"/>
        <v>18000</v>
      </c>
      <c r="O29" s="12" t="str">
        <f t="shared" si="2"/>
        <v>обслуживание сайта школы</v>
      </c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s="6" customFormat="1" ht="19.5" customHeight="1">
      <c r="A30" s="10" t="s">
        <v>53</v>
      </c>
      <c r="B30" s="11"/>
      <c r="C30" s="11"/>
      <c r="D30" s="11">
        <v>15850</v>
      </c>
      <c r="E30" s="11"/>
      <c r="F30" s="11"/>
      <c r="G30" s="11"/>
      <c r="H30" s="11"/>
      <c r="I30" s="11"/>
      <c r="J30" s="11"/>
      <c r="K30" s="11"/>
      <c r="L30" s="11"/>
      <c r="M30" s="11"/>
      <c r="N30" s="16">
        <f t="shared" si="7"/>
        <v>15850</v>
      </c>
      <c r="O30" s="12" t="str">
        <f t="shared" si="2"/>
        <v>Парус онлайн</v>
      </c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s="6" customFormat="1" ht="19.5" customHeight="1">
      <c r="A31" s="10" t="s">
        <v>59</v>
      </c>
      <c r="B31" s="11"/>
      <c r="C31" s="11"/>
      <c r="D31" s="11"/>
      <c r="E31" s="11"/>
      <c r="F31" s="11"/>
      <c r="G31" s="11">
        <v>19200</v>
      </c>
      <c r="H31" s="11"/>
      <c r="I31" s="11"/>
      <c r="J31" s="11"/>
      <c r="K31" s="11"/>
      <c r="L31" s="11"/>
      <c r="M31" s="11"/>
      <c r="N31" s="16">
        <f t="shared" si="7"/>
        <v>19200</v>
      </c>
      <c r="O31" s="12" t="str">
        <f t="shared" si="2"/>
        <v>секрет нет студио</v>
      </c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s="6" customFormat="1" ht="30" customHeight="1">
      <c r="A32" s="10" t="s">
        <v>18</v>
      </c>
      <c r="B32" s="11"/>
      <c r="C32" s="11"/>
      <c r="D32" s="11">
        <v>6930</v>
      </c>
      <c r="E32" s="11"/>
      <c r="F32" s="11"/>
      <c r="G32" s="11"/>
      <c r="H32" s="11"/>
      <c r="I32" s="11"/>
      <c r="J32" s="11"/>
      <c r="K32" s="11"/>
      <c r="L32" s="11"/>
      <c r="M32" s="11"/>
      <c r="N32" s="16">
        <f t="shared" si="7"/>
        <v>6930</v>
      </c>
      <c r="O32" s="12" t="str">
        <f t="shared" si="2"/>
        <v>сдача отчетности пенс.и налог.с ЭЦП Контур</v>
      </c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s="15" customFormat="1" ht="30" customHeight="1">
      <c r="A33" s="12" t="s">
        <v>4</v>
      </c>
      <c r="B33" s="13">
        <f aca="true" t="shared" si="8" ref="B33:K33">B34+B40</f>
        <v>0</v>
      </c>
      <c r="C33" s="13">
        <f>C34+C38+C40</f>
        <v>0</v>
      </c>
      <c r="D33" s="13">
        <f>D34+D40+D38</f>
        <v>0</v>
      </c>
      <c r="E33" s="13">
        <f t="shared" si="8"/>
        <v>0</v>
      </c>
      <c r="F33" s="13">
        <f>F34+F40+F36</f>
        <v>0</v>
      </c>
      <c r="G33" s="13">
        <f t="shared" si="8"/>
        <v>0</v>
      </c>
      <c r="H33" s="13">
        <f t="shared" si="8"/>
        <v>0</v>
      </c>
      <c r="I33" s="13">
        <f t="shared" si="8"/>
        <v>76362</v>
      </c>
      <c r="J33" s="13">
        <f t="shared" si="8"/>
        <v>0</v>
      </c>
      <c r="K33" s="13">
        <f t="shared" si="8"/>
        <v>0</v>
      </c>
      <c r="L33" s="13">
        <f>L34+L40+L38+L35</f>
        <v>0</v>
      </c>
      <c r="M33" s="13">
        <f>M34+M35+M36+M37+M38+M39</f>
        <v>0</v>
      </c>
      <c r="N33" s="16">
        <f t="shared" si="7"/>
        <v>76362</v>
      </c>
      <c r="O33" s="12" t="str">
        <f t="shared" si="2"/>
        <v>310 в т.ч. </v>
      </c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s="6" customFormat="1" ht="37.5" customHeight="1">
      <c r="A34" s="10" t="s">
        <v>55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6">
        <f t="shared" si="7"/>
        <v>0</v>
      </c>
      <c r="O34" s="12" t="str">
        <f t="shared" si="2"/>
        <v>ноутбук</v>
      </c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s="6" customFormat="1" ht="27" customHeight="1">
      <c r="A35" s="10" t="s">
        <v>44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6">
        <f t="shared" si="7"/>
        <v>0</v>
      </c>
      <c r="O35" s="12" t="str">
        <f t="shared" si="2"/>
        <v>учебные пособия</v>
      </c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s="6" customFormat="1" ht="27" customHeight="1">
      <c r="A36" s="10" t="s">
        <v>50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6">
        <f t="shared" si="7"/>
        <v>0</v>
      </c>
      <c r="O36" s="12" t="str">
        <f t="shared" si="2"/>
        <v>адапторы на интернет</v>
      </c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s="6" customFormat="1" ht="27" customHeight="1">
      <c r="A37" s="10" t="s">
        <v>45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6">
        <f t="shared" si="7"/>
        <v>0</v>
      </c>
      <c r="O37" s="12" t="str">
        <f t="shared" si="2"/>
        <v>оргтехника</v>
      </c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s="6" customFormat="1" ht="22.5" customHeight="1">
      <c r="A38" s="10" t="s">
        <v>48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6">
        <f t="shared" si="7"/>
        <v>0</v>
      </c>
      <c r="O38" s="12" t="str">
        <f t="shared" si="2"/>
        <v>диктофон на егэ</v>
      </c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s="6" customFormat="1" ht="22.5" customHeight="1">
      <c r="A39" s="10" t="s">
        <v>49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6">
        <f t="shared" si="7"/>
        <v>0</v>
      </c>
      <c r="O39" s="12" t="str">
        <f t="shared" si="2"/>
        <v>компьютеры</v>
      </c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s="6" customFormat="1" ht="25.5" customHeight="1">
      <c r="A40" s="10" t="s">
        <v>6</v>
      </c>
      <c r="B40" s="11"/>
      <c r="C40" s="11"/>
      <c r="D40" s="11"/>
      <c r="E40" s="11"/>
      <c r="F40" s="11"/>
      <c r="G40" s="11"/>
      <c r="H40" s="11"/>
      <c r="I40" s="11">
        <v>76362</v>
      </c>
      <c r="J40" s="11"/>
      <c r="K40" s="11"/>
      <c r="L40" s="11"/>
      <c r="M40" s="11"/>
      <c r="N40" s="16">
        <f t="shared" si="7"/>
        <v>76362</v>
      </c>
      <c r="O40" s="12" t="str">
        <f t="shared" si="2"/>
        <v>учебники</v>
      </c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s="15" customFormat="1" ht="25.5" customHeight="1">
      <c r="A41" s="14" t="s">
        <v>2</v>
      </c>
      <c r="B41" s="13">
        <f>B42+B46</f>
        <v>0</v>
      </c>
      <c r="C41" s="13">
        <f>C42+C46</f>
        <v>0</v>
      </c>
      <c r="D41" s="13">
        <f>D42+D46+D44</f>
        <v>0</v>
      </c>
      <c r="E41" s="13">
        <f>E42+E46+E44</f>
        <v>2326</v>
      </c>
      <c r="F41" s="13">
        <f>F42+F46</f>
        <v>0</v>
      </c>
      <c r="G41" s="13">
        <f>G42+G46+G43</f>
        <v>0</v>
      </c>
      <c r="H41" s="13">
        <f>H42+H46+H43</f>
        <v>0</v>
      </c>
      <c r="I41" s="13">
        <f>I42+I46+I43+I44+I45</f>
        <v>0</v>
      </c>
      <c r="J41" s="13">
        <f>J42+J46+J43+J44</f>
        <v>0</v>
      </c>
      <c r="K41" s="13">
        <f>K42+K46+K43+K44</f>
        <v>0</v>
      </c>
      <c r="L41" s="13">
        <f>L42+L46+L43+L44</f>
        <v>0</v>
      </c>
      <c r="M41" s="13">
        <f>M42+M43+M44+M45+M46</f>
        <v>0</v>
      </c>
      <c r="N41" s="16">
        <f t="shared" si="7"/>
        <v>2326</v>
      </c>
      <c r="O41" s="12" t="str">
        <f t="shared" si="2"/>
        <v>340 в т.ч.</v>
      </c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28.5" customHeight="1">
      <c r="A42" s="10" t="s">
        <v>7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6">
        <f t="shared" si="7"/>
        <v>0</v>
      </c>
      <c r="O42" s="12" t="str">
        <f t="shared" si="2"/>
        <v>канцел.товары</v>
      </c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28.5" customHeight="1">
      <c r="A43" s="10" t="s">
        <v>35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6">
        <f t="shared" si="7"/>
        <v>0</v>
      </c>
      <c r="O43" s="12" t="str">
        <f t="shared" si="2"/>
        <v>раб.тетради</v>
      </c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28.5" customHeight="1">
      <c r="A44" s="10" t="s">
        <v>52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6">
        <f t="shared" si="7"/>
        <v>0</v>
      </c>
      <c r="O44" s="12" t="str">
        <f t="shared" si="2"/>
        <v>хозтовары</v>
      </c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8">
      <c r="A45" s="10" t="s">
        <v>51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6">
        <f t="shared" si="7"/>
        <v>0</v>
      </c>
      <c r="O45" s="12" t="str">
        <f t="shared" si="2"/>
        <v>спортивный инвентарь</v>
      </c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25.5" customHeight="1">
      <c r="A46" s="10" t="s">
        <v>58</v>
      </c>
      <c r="B46" s="11"/>
      <c r="C46" s="11"/>
      <c r="D46" s="11"/>
      <c r="E46" s="11">
        <v>2326</v>
      </c>
      <c r="F46" s="11"/>
      <c r="G46" s="11"/>
      <c r="H46" s="11"/>
      <c r="I46" s="11"/>
      <c r="J46" s="11"/>
      <c r="K46" s="11"/>
      <c r="L46" s="11"/>
      <c r="M46" s="11"/>
      <c r="N46" s="16">
        <f t="shared" si="7"/>
        <v>2326</v>
      </c>
      <c r="O46" s="12" t="str">
        <f t="shared" si="2"/>
        <v>золотая медаль</v>
      </c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s="15" customFormat="1" ht="34.5" customHeight="1">
      <c r="A47" s="14" t="s">
        <v>3</v>
      </c>
      <c r="B47" s="13">
        <f>B5+B11+B14+B15+B16+B19+B33+B41</f>
        <v>549558.55</v>
      </c>
      <c r="C47" s="13">
        <f aca="true" t="shared" si="9" ref="C47:M47">C5+C11+C14+C15+C16+C19+C33+C41</f>
        <v>1101895</v>
      </c>
      <c r="D47" s="13">
        <f t="shared" si="9"/>
        <v>955076.37</v>
      </c>
      <c r="E47" s="13">
        <f t="shared" si="9"/>
        <v>1074375.24</v>
      </c>
      <c r="F47" s="13">
        <f t="shared" si="9"/>
        <v>1356242.53</v>
      </c>
      <c r="G47" s="13">
        <f t="shared" si="9"/>
        <v>2970827.31</v>
      </c>
      <c r="H47" s="13">
        <f t="shared" si="9"/>
        <v>525428.3</v>
      </c>
      <c r="I47" s="13">
        <f t="shared" si="9"/>
        <v>111143.6</v>
      </c>
      <c r="J47" s="13">
        <f t="shared" si="9"/>
        <v>898028.1000000001</v>
      </c>
      <c r="K47" s="13">
        <f>K5+K11+K14+K15+K16+K19+K33+K41</f>
        <v>743846.64</v>
      </c>
      <c r="L47" s="13">
        <f>L5+L11+L14+L15+L16+L19+L33+L41</f>
        <v>1469328.3599999999</v>
      </c>
      <c r="M47" s="13">
        <f t="shared" si="9"/>
        <v>1631149.9999999998</v>
      </c>
      <c r="N47" s="16">
        <f t="shared" si="7"/>
        <v>13386900</v>
      </c>
      <c r="O47" s="12" t="str">
        <f t="shared" si="2"/>
        <v>ВСЕГО</v>
      </c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s="15" customFormat="1" ht="45" customHeight="1">
      <c r="A48" s="20" t="s">
        <v>31</v>
      </c>
      <c r="B48" s="13">
        <v>1100000</v>
      </c>
      <c r="C48" s="13">
        <v>1200000</v>
      </c>
      <c r="D48" s="13">
        <f>807975</f>
        <v>807975</v>
      </c>
      <c r="E48" s="13">
        <v>1200000</v>
      </c>
      <c r="F48" s="19">
        <v>1400000</v>
      </c>
      <c r="G48" s="13">
        <v>3300000</v>
      </c>
      <c r="H48" s="13">
        <v>320000</v>
      </c>
      <c r="I48" s="13">
        <v>0</v>
      </c>
      <c r="J48" s="13">
        <f>712200</f>
        <v>712200</v>
      </c>
      <c r="K48" s="13">
        <v>1100000</v>
      </c>
      <c r="L48" s="13">
        <v>1212950</v>
      </c>
      <c r="M48" s="13">
        <v>1033775</v>
      </c>
      <c r="N48" s="16">
        <f t="shared" si="7"/>
        <v>13386900</v>
      </c>
      <c r="O48" s="12" t="str">
        <f t="shared" si="2"/>
        <v>ФИНАНСИРОВАНИЕ</v>
      </c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s="15" customFormat="1" ht="39" customHeight="1">
      <c r="A49" s="20" t="s">
        <v>32</v>
      </c>
      <c r="B49" s="13">
        <f>B48-B47</f>
        <v>550441.45</v>
      </c>
      <c r="C49" s="13">
        <f aca="true" t="shared" si="10" ref="C49:J49">B49+C48-C47</f>
        <v>648546.45</v>
      </c>
      <c r="D49" s="13">
        <f t="shared" si="10"/>
        <v>501445.07999999996</v>
      </c>
      <c r="E49" s="13">
        <f t="shared" si="10"/>
        <v>627069.8400000001</v>
      </c>
      <c r="F49" s="13">
        <f t="shared" si="10"/>
        <v>670827.31</v>
      </c>
      <c r="G49" s="13">
        <f t="shared" si="10"/>
        <v>1000000</v>
      </c>
      <c r="H49" s="13">
        <f t="shared" si="10"/>
        <v>794571.7</v>
      </c>
      <c r="I49" s="13">
        <f>H49+I48-I47</f>
        <v>683428.1</v>
      </c>
      <c r="J49" s="13">
        <f t="shared" si="10"/>
        <v>497600</v>
      </c>
      <c r="K49" s="13">
        <f>J49+K48-K47</f>
        <v>853753.36</v>
      </c>
      <c r="L49" s="13">
        <f>K49+L48-L47</f>
        <v>597375</v>
      </c>
      <c r="M49" s="13">
        <f>L49+M48-M47</f>
        <v>0</v>
      </c>
      <c r="N49" s="16">
        <f>N48-N47</f>
        <v>0</v>
      </c>
      <c r="O49" s="12" t="str">
        <f t="shared" si="2"/>
        <v>Остаток на счете</v>
      </c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15" ht="18">
      <c r="A50" s="7" t="s">
        <v>13</v>
      </c>
      <c r="B50" s="3" t="s">
        <v>14</v>
      </c>
      <c r="O50" s="12" t="str">
        <f t="shared" si="2"/>
        <v>Директор школы</v>
      </c>
    </row>
    <row r="51" spans="4:15" ht="18">
      <c r="D51" s="18"/>
      <c r="O51" s="12">
        <f t="shared" si="2"/>
        <v>0</v>
      </c>
    </row>
    <row r="52" spans="1:2" ht="18">
      <c r="A52" s="7" t="s">
        <v>15</v>
      </c>
      <c r="B52" s="3" t="s">
        <v>16</v>
      </c>
    </row>
    <row r="53" ht="18">
      <c r="L53" s="3">
        <f>597375-L49</f>
        <v>0</v>
      </c>
    </row>
    <row r="54" spans="11:14" ht="18">
      <c r="K54" s="3">
        <f>853753.36-K49</f>
        <v>0</v>
      </c>
      <c r="N54" s="3">
        <f>380000-N49</f>
        <v>380000</v>
      </c>
    </row>
    <row r="55" ht="18">
      <c r="F55" s="3">
        <f>658306.45-F49</f>
        <v>-12520.860000000102</v>
      </c>
    </row>
    <row r="56" ht="18">
      <c r="G56" s="3">
        <f>F49-670827.31</f>
        <v>0</v>
      </c>
    </row>
  </sheetData>
  <sheetProtection/>
  <mergeCells count="2">
    <mergeCell ref="A2:B2"/>
    <mergeCell ref="A1:B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2022-03-01T09:01:49Z</cp:lastPrinted>
  <dcterms:created xsi:type="dcterms:W3CDTF">1996-10-08T23:32:33Z</dcterms:created>
  <dcterms:modified xsi:type="dcterms:W3CDTF">2023-03-29T07:27:33Z</dcterms:modified>
  <cp:category/>
  <cp:version/>
  <cp:contentType/>
  <cp:contentStatus/>
</cp:coreProperties>
</file>