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школы " sheetId="1" r:id="rId1"/>
  </sheets>
  <definedNames>
    <definedName name="_xlnm.Print_Area" localSheetId="0">'школы '!$A$1:$N$90</definedName>
  </definedNames>
  <calcPr fullCalcOnLoad="1"/>
</workbook>
</file>

<file path=xl/sharedStrings.xml><?xml version="1.0" encoding="utf-8"?>
<sst xmlns="http://schemas.openxmlformats.org/spreadsheetml/2006/main" count="94" uniqueCount="94">
  <si>
    <t>225 в.т.ч.</t>
  </si>
  <si>
    <t>226 в т.ч.</t>
  </si>
  <si>
    <t>340 в т.ч.</t>
  </si>
  <si>
    <t>ВСЕГО</t>
  </si>
  <si>
    <t xml:space="preserve">310 в т.ч. </t>
  </si>
  <si>
    <t>223 в т.ч.</t>
  </si>
  <si>
    <t>электроэнергия</t>
  </si>
  <si>
    <t>вода</t>
  </si>
  <si>
    <t>вывоз ЖБО</t>
  </si>
  <si>
    <t>дератизация</t>
  </si>
  <si>
    <t>борьба с клещами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</si>
  <si>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</si>
  <si>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</si>
  <si>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</si>
  <si>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</si>
  <si>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290 в.т.ч.</t>
  </si>
  <si>
    <t>земельный налог</t>
  </si>
  <si>
    <t>пени, штрафы</t>
  </si>
  <si>
    <t>оформ лицензии</t>
  </si>
  <si>
    <t>пож.технич.минимум</t>
  </si>
  <si>
    <t>налог за загрязнение окр.среды</t>
  </si>
  <si>
    <t>гос.пошлина</t>
  </si>
  <si>
    <t>обучение отв за теплохоз.и эл.хоз</t>
  </si>
  <si>
    <t>итого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</si>
  <si>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</si>
  <si>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</si>
  <si>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</si>
  <si>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</si>
  <si>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</si>
  <si>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</si>
  <si>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март</t>
  </si>
  <si>
    <t>апрель</t>
  </si>
  <si>
    <t>май</t>
  </si>
  <si>
    <t>тепловая энергия</t>
  </si>
  <si>
    <t>июнь</t>
  </si>
  <si>
    <t>налог на имущество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</si>
  <si>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</si>
  <si>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</si>
  <si>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</si>
  <si>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</si>
  <si>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</si>
  <si>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</si>
  <si>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охранные услуги </t>
  </si>
  <si>
    <t>обслуж.теплосчетчиков</t>
  </si>
  <si>
    <t>гидравлич.испытания трубопровода</t>
  </si>
  <si>
    <t>Финансирование</t>
  </si>
  <si>
    <t>Остаток на л/счете</t>
  </si>
  <si>
    <t xml:space="preserve">тех.обслуживание АПС </t>
  </si>
  <si>
    <t>гиг.обучение</t>
  </si>
  <si>
    <t>обучение охрана труда</t>
  </si>
  <si>
    <t>з/плата гарантированная</t>
  </si>
  <si>
    <t>премии</t>
  </si>
  <si>
    <t>611 заработная плата  211</t>
  </si>
  <si>
    <t>611 начисления на з/плату 213</t>
  </si>
  <si>
    <t>отщип (Лаб.испытания огнезащиты)</t>
  </si>
  <si>
    <t>утилизация люм.ламп</t>
  </si>
  <si>
    <t>611 з/п</t>
  </si>
  <si>
    <t>обучение бухгалтера</t>
  </si>
  <si>
    <t>услуги по обращениб с ТКО</t>
  </si>
  <si>
    <t>моющие и хозтовары</t>
  </si>
  <si>
    <t>ГСМ на бензокосу</t>
  </si>
  <si>
    <t>огнетушители</t>
  </si>
  <si>
    <t>скорая помощь</t>
  </si>
  <si>
    <t>РЦИС система Дело</t>
  </si>
  <si>
    <t>обслуживание системы видеонаблюдения</t>
  </si>
  <si>
    <t>борьба с комарами</t>
  </si>
  <si>
    <t>канцтовары</t>
  </si>
  <si>
    <t>МБОУ Ясиновская СОШ им. 30-й гв. Иркутско-Пинской дивизии</t>
  </si>
  <si>
    <t>штраф СЭС</t>
  </si>
  <si>
    <t>косилка</t>
  </si>
  <si>
    <t xml:space="preserve">испытания пож.рукавов </t>
  </si>
  <si>
    <t>ремонт системы отопления</t>
  </si>
  <si>
    <t>ремонт АПС</t>
  </si>
  <si>
    <t>ноутбук</t>
  </si>
  <si>
    <t>лампы</t>
  </si>
  <si>
    <t>звуковое оповещение</t>
  </si>
  <si>
    <t>обработка от Ковид</t>
  </si>
  <si>
    <t>линолеум</t>
  </si>
  <si>
    <t>физохрана</t>
  </si>
  <si>
    <t>ТО системы трев.сигнализ (Росгвардии связь)</t>
  </si>
  <si>
    <t>обраб.дер.констр. И одежды сцены</t>
  </si>
  <si>
    <t>поверка теплового счетчика</t>
  </si>
  <si>
    <t>ремонт узла учета тепловой энергии</t>
  </si>
  <si>
    <t>батарея на трев.сигнал</t>
  </si>
  <si>
    <t>Информация о расходовании средств местного бюджета за январь-ноябрь 2022  год</t>
  </si>
  <si>
    <t>сплит система</t>
  </si>
  <si>
    <t>паспорт доступности</t>
  </si>
  <si>
    <t>стройматериалы</t>
  </si>
  <si>
    <t>ремонт 2-х кабинетов</t>
  </si>
  <si>
    <t>Парус Дон свед.отчетности</t>
  </si>
  <si>
    <t>обучение директора</t>
  </si>
  <si>
    <t>обучение  44 фз</t>
  </si>
  <si>
    <t>брендирование</t>
  </si>
  <si>
    <t>жалюзи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</si>
</sst>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#,##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4" borderId="11" xfId="0" applyNumberFormat="1" applyFont="1" applyFill="1" applyBorder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left" wrapText="1"/>
    </xf>
    <xf numFmtId="2" fontId="5" fillId="4" borderId="10" xfId="0" applyNumberFormat="1" applyFont="1" applyFill="1" applyBorder="1" applyAlignment="1">
      <alignment wrapText="1"/>
    </xf>
    <xf numFmtId="183" fontId="5" fillId="4" borderId="10" xfId="0" applyNumberFormat="1" applyFont="1" applyFill="1" applyBorder="1" applyAlignment="1">
      <alignment horizontal="right" wrapText="1"/>
    </xf>
    <xf numFmtId="2" fontId="5" fillId="4" borderId="11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33" borderId="11" xfId="0" applyNumberFormat="1" applyFont="1" applyFill="1" applyBorder="1" applyAlignment="1">
      <alignment horizontal="right" wrapText="1"/>
    </xf>
    <xf numFmtId="184" fontId="6" fillId="33" borderId="11" xfId="0" applyNumberFormat="1" applyFont="1" applyFill="1" applyBorder="1" applyAlignment="1">
      <alignment/>
    </xf>
    <xf numFmtId="183" fontId="5" fillId="33" borderId="11" xfId="0" applyNumberFormat="1" applyFont="1" applyFill="1" applyBorder="1" applyAlignment="1">
      <alignment wrapText="1"/>
    </xf>
    <xf numFmtId="184" fontId="5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4" borderId="10" xfId="0" applyNumberFormat="1" applyFont="1" applyFill="1" applyBorder="1" applyAlignment="1">
      <alignment horizontal="center" wrapText="1"/>
    </xf>
    <xf numFmtId="2" fontId="6" fillId="4" borderId="1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2" fontId="5" fillId="4" borderId="10" xfId="0" applyNumberFormat="1" applyFont="1" applyFill="1" applyBorder="1" applyAlignment="1">
      <alignment horizontal="right" wrapText="1"/>
    </xf>
    <xf numFmtId="183" fontId="5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right" wrapText="1"/>
    </xf>
    <xf numFmtId="2" fontId="5" fillId="4" borderId="10" xfId="0" applyNumberFormat="1" applyFont="1" applyFill="1" applyBorder="1" applyAlignment="1">
      <alignment horizontal="center" wrapText="1"/>
    </xf>
    <xf numFmtId="183" fontId="5" fillId="4" borderId="10" xfId="0" applyNumberFormat="1" applyFont="1" applyFill="1" applyBorder="1" applyAlignment="1">
      <alignment horizontal="left" wrapText="1"/>
    </xf>
    <xf numFmtId="183" fontId="5" fillId="0" borderId="10" xfId="0" applyNumberFormat="1" applyFont="1" applyFill="1" applyBorder="1" applyAlignment="1">
      <alignment horizontal="left" wrapText="1"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4" fontId="44" fillId="0" borderId="11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wrapText="1"/>
    </xf>
    <xf numFmtId="180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="75" zoomScaleSheetLayoutView="75" zoomScalePageLayoutView="0" workbookViewId="0" topLeftCell="J1">
      <selection activeCell="P4" sqref="P4"/>
    </sheetView>
  </sheetViews>
  <sheetFormatPr defaultColWidth="9.140625" defaultRowHeight="12.75"/>
  <cols>
    <col min="1" max="1" width="56.7109375" style="7" customWidth="1"/>
    <col min="2" max="2" width="17.8515625" style="3" customWidth="1"/>
    <col min="3" max="3" width="20.421875" style="3" customWidth="1"/>
    <col min="4" max="4" width="18.8515625" style="3" customWidth="1"/>
    <col min="5" max="5" width="19.421875" style="3" customWidth="1"/>
    <col min="6" max="7" width="18.00390625" style="3" customWidth="1"/>
    <col min="8" max="8" width="17.140625" style="3" customWidth="1"/>
    <col min="9" max="9" width="18.8515625" style="3" customWidth="1"/>
    <col min="10" max="10" width="19.7109375" style="3" customWidth="1"/>
    <col min="11" max="11" width="19.00390625" style="3" customWidth="1"/>
    <col min="12" max="12" width="18.8515625" style="3" customWidth="1"/>
    <col min="13" max="13" width="20.8515625" style="3" customWidth="1"/>
    <col min="14" max="14" width="22.7109375" style="3" customWidth="1"/>
    <col min="15" max="15" width="67.28125" style="2" customWidth="1"/>
    <col min="16" max="16" width="30.140625" style="2" customWidth="1"/>
    <col min="17" max="17" width="14.57421875" style="2" bestFit="1" customWidth="1"/>
    <col min="18" max="18" width="24.28125" style="2" customWidth="1"/>
    <col min="19" max="16384" width="9.140625" style="2" customWidth="1"/>
  </cols>
  <sheetData>
    <row r="1" spans="1:18" ht="48.75" customHeight="1">
      <c r="A1" s="52" t="s">
        <v>84</v>
      </c>
      <c r="B1" s="5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6"/>
      <c r="P1" s="26"/>
      <c r="Q1" s="26"/>
      <c r="R1" s="26"/>
    </row>
    <row r="2" spans="1:18" ht="33" customHeight="1">
      <c r="A2" s="50" t="s">
        <v>67</v>
      </c>
      <c r="B2" s="5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7" t="s">
        <v>56</v>
      </c>
      <c r="P2" s="26"/>
      <c r="Q2" s="26"/>
      <c r="R2" s="26"/>
    </row>
    <row r="3" spans="1:25" s="4" customFormat="1" ht="21" customHeight="1">
      <c r="A3" s="8"/>
      <c r="B3" s="15" t="s">
        <v>24</v>
      </c>
      <c r="C3" s="15" t="s">
        <v>29</v>
      </c>
      <c r="D3" s="15" t="s">
        <v>30</v>
      </c>
      <c r="E3" s="15" t="s">
        <v>31</v>
      </c>
      <c r="F3" s="15" t="s">
        <v>32</v>
      </c>
      <c r="G3" s="15" t="s">
        <v>34</v>
      </c>
      <c r="H3" s="15" t="s">
        <v>36</v>
      </c>
      <c r="I3" s="15" t="s">
        <v>37</v>
      </c>
      <c r="J3" s="15" t="s">
        <v>38</v>
      </c>
      <c r="K3" s="15" t="s">
        <v>39</v>
      </c>
      <c r="L3" s="15" t="s">
        <v>40</v>
      </c>
      <c r="M3" s="15" t="s">
        <v>41</v>
      </c>
      <c r="N3" s="16" t="s">
        <v>23</v>
      </c>
      <c r="O3" s="45"/>
      <c r="P3" s="28">
        <f>N4+N7</f>
        <v>1895000</v>
      </c>
      <c r="Q3" s="27"/>
      <c r="R3" s="27"/>
      <c r="S3" s="5"/>
      <c r="T3" s="5"/>
      <c r="U3" s="5"/>
      <c r="V3" s="5"/>
      <c r="W3" s="5"/>
      <c r="X3" s="5"/>
      <c r="Y3" s="5"/>
    </row>
    <row r="4" spans="1:25" s="4" customFormat="1" ht="21" customHeight="1">
      <c r="A4" s="22" t="s">
        <v>52</v>
      </c>
      <c r="B4" s="21">
        <f>B5+B6</f>
        <v>160000</v>
      </c>
      <c r="C4" s="21">
        <f aca="true" t="shared" si="0" ref="C4:M4">C5+C6</f>
        <v>112104.92</v>
      </c>
      <c r="D4" s="21">
        <f t="shared" si="0"/>
        <v>122480.93</v>
      </c>
      <c r="E4" s="21">
        <f t="shared" si="0"/>
        <v>123169.66</v>
      </c>
      <c r="F4" s="21">
        <f t="shared" si="0"/>
        <v>153231.38</v>
      </c>
      <c r="G4" s="21">
        <f t="shared" si="0"/>
        <v>142331.61</v>
      </c>
      <c r="H4" s="21">
        <f>H5+H6</f>
        <v>97422.59</v>
      </c>
      <c r="I4" s="21">
        <f t="shared" si="0"/>
        <v>50539.26</v>
      </c>
      <c r="J4" s="21">
        <f t="shared" si="0"/>
        <v>140775.33999999997</v>
      </c>
      <c r="K4" s="21">
        <f t="shared" si="0"/>
        <v>112000</v>
      </c>
      <c r="L4" s="21">
        <f t="shared" si="0"/>
        <v>115900</v>
      </c>
      <c r="M4" s="21">
        <f t="shared" si="0"/>
        <v>125501.56999999999</v>
      </c>
      <c r="N4" s="23">
        <f>B4+C4+D4+E4+F4+G4+H4+I4+J4+K4+L4+M4</f>
        <v>1455457.26</v>
      </c>
      <c r="O4" s="44" t="str">
        <f>A4</f>
        <v>611 заработная плата  211</v>
      </c>
      <c r="P4" s="28">
        <f>1098000-P3</f>
        <v>-797000</v>
      </c>
      <c r="Q4" s="27"/>
      <c r="R4" s="27"/>
      <c r="S4" s="5"/>
      <c r="T4" s="5"/>
      <c r="U4" s="5"/>
      <c r="V4" s="5"/>
      <c r="W4" s="5"/>
      <c r="X4" s="5"/>
      <c r="Y4" s="5"/>
    </row>
    <row r="5" spans="1:25" s="4" customFormat="1" ht="21" customHeight="1">
      <c r="A5" s="39" t="s">
        <v>50</v>
      </c>
      <c r="B5" s="40">
        <v>160000</v>
      </c>
      <c r="C5" s="41">
        <f>92612.31+18962+530.61</f>
        <v>112104.92</v>
      </c>
      <c r="D5" s="41">
        <f>48110.73+13961+409.2+60000</f>
        <v>122480.93</v>
      </c>
      <c r="E5" s="41">
        <f>108976.88+13835+357.78</f>
        <v>123169.66</v>
      </c>
      <c r="F5" s="41">
        <f>13808+380.08+17123.47+111035.26+10884.57</f>
        <v>153231.38</v>
      </c>
      <c r="G5" s="41">
        <f>938.44+77068.96+14758.76+8941.84+623.61+40000</f>
        <v>142331.61</v>
      </c>
      <c r="H5" s="42">
        <f>60000+34191.78+14367+904.08-12040.27</f>
        <v>97422.59</v>
      </c>
      <c r="I5" s="42">
        <f>50539.26</f>
        <v>50539.26</v>
      </c>
      <c r="J5" s="42">
        <f>5219.29+100000+35000+556.05</f>
        <v>140775.33999999997</v>
      </c>
      <c r="K5" s="42">
        <f>100000+12000</f>
        <v>112000</v>
      </c>
      <c r="L5" s="42">
        <f>115900</f>
        <v>115900</v>
      </c>
      <c r="M5" s="42">
        <f>5814.5+4253.13+95020.93+19108+1305.01</f>
        <v>125501.56999999999</v>
      </c>
      <c r="N5" s="23">
        <f>B5+C5+D5+E5+F5+G5+H5+I5+J5+K5+L5+M5</f>
        <v>1455457.26</v>
      </c>
      <c r="O5" s="44" t="str">
        <f aca="true" t="shared" si="1" ref="O5:O68">A5</f>
        <v>з/плата гарантированная</v>
      </c>
      <c r="P5" s="27"/>
      <c r="Q5" s="27"/>
      <c r="R5" s="27"/>
      <c r="S5" s="5"/>
      <c r="T5" s="5"/>
      <c r="U5" s="5"/>
      <c r="V5" s="5"/>
      <c r="W5" s="5"/>
      <c r="X5" s="5"/>
      <c r="Y5" s="5"/>
    </row>
    <row r="6" spans="1:25" s="4" customFormat="1" ht="21" customHeight="1">
      <c r="A6" s="39" t="s">
        <v>51</v>
      </c>
      <c r="B6" s="40"/>
      <c r="C6" s="41"/>
      <c r="D6" s="41"/>
      <c r="E6" s="41"/>
      <c r="F6" s="41"/>
      <c r="G6" s="41"/>
      <c r="H6" s="42"/>
      <c r="I6" s="42"/>
      <c r="J6" s="42"/>
      <c r="K6" s="42"/>
      <c r="L6" s="42"/>
      <c r="M6" s="42"/>
      <c r="N6" s="23">
        <f>B6+C6+D6+E6+F6+G6+H6+I6+J6+K6+L6+M6</f>
        <v>0</v>
      </c>
      <c r="O6" s="44" t="str">
        <f t="shared" si="1"/>
        <v>премии</v>
      </c>
      <c r="P6" s="27"/>
      <c r="Q6" s="27"/>
      <c r="R6" s="27"/>
      <c r="S6" s="5"/>
      <c r="T6" s="5"/>
      <c r="U6" s="5"/>
      <c r="V6" s="5"/>
      <c r="W6" s="5"/>
      <c r="X6" s="5"/>
      <c r="Y6" s="5"/>
    </row>
    <row r="7" spans="1:25" s="4" customFormat="1" ht="21" customHeight="1">
      <c r="A7" s="22" t="s">
        <v>53</v>
      </c>
      <c r="B7" s="43"/>
      <c r="C7" s="43">
        <f>297.32+4311.12+7581.62+32705.02</f>
        <v>44895.08</v>
      </c>
      <c r="D7" s="43">
        <f>228.6+3314.74+5829.38+25146.35</f>
        <v>34519.07</v>
      </c>
      <c r="E7" s="43">
        <f>224.04+3248.61+5713.07+24644.62</f>
        <v>33830.34</v>
      </c>
      <c r="F7" s="43">
        <f>223.64+3242.68+5702.65+24599.65</f>
        <v>33768.62</v>
      </c>
      <c r="G7" s="43">
        <f>295.81+4289.35+7543.34+32539.89</f>
        <v>44668.39</v>
      </c>
      <c r="H7" s="38">
        <f>568.46+8242.64+14495.67+74570.64</f>
        <v>97877.41</v>
      </c>
      <c r="I7" s="38"/>
      <c r="J7" s="38">
        <f>8500+14000+46185.4</f>
        <v>68685.4</v>
      </c>
      <c r="K7" s="38">
        <f>200+2000+3800+22000</f>
        <v>28000</v>
      </c>
      <c r="L7" s="38">
        <f>2000+4000+18000</f>
        <v>24000</v>
      </c>
      <c r="M7" s="36">
        <f>373.04+3559.13+5562.61+19803.65</f>
        <v>29298.43</v>
      </c>
      <c r="N7" s="23">
        <f aca="true" t="shared" si="2" ref="N7:N41">B7+C7+D7+E7+F7+G7+H7+I7+J7+K7+L7+M7</f>
        <v>439542.74000000005</v>
      </c>
      <c r="O7" s="44" t="str">
        <f t="shared" si="1"/>
        <v>611 начисления на з/плату 213</v>
      </c>
      <c r="P7" s="28"/>
      <c r="Q7" s="27"/>
      <c r="R7" s="28">
        <f>844360-P7</f>
        <v>844360</v>
      </c>
      <c r="S7" s="5"/>
      <c r="T7" s="5"/>
      <c r="U7" s="5"/>
      <c r="V7" s="5"/>
      <c r="W7" s="5"/>
      <c r="X7" s="5"/>
      <c r="Y7" s="5"/>
    </row>
    <row r="8" spans="1:25" s="4" customFormat="1" ht="21" customHeight="1">
      <c r="A8" s="22">
        <v>212</v>
      </c>
      <c r="B8" s="35"/>
      <c r="C8" s="35"/>
      <c r="D8" s="35"/>
      <c r="E8" s="35"/>
      <c r="F8" s="35"/>
      <c r="G8" s="35"/>
      <c r="H8" s="36"/>
      <c r="I8" s="36"/>
      <c r="J8" s="36"/>
      <c r="K8" s="36"/>
      <c r="L8" s="36"/>
      <c r="M8" s="38"/>
      <c r="N8" s="23">
        <f t="shared" si="2"/>
        <v>0</v>
      </c>
      <c r="O8" s="44">
        <f t="shared" si="1"/>
        <v>212</v>
      </c>
      <c r="P8" s="28">
        <f>D4+D7</f>
        <v>157000</v>
      </c>
      <c r="Q8" s="27"/>
      <c r="R8" s="28"/>
      <c r="S8" s="5"/>
      <c r="T8" s="5"/>
      <c r="U8" s="5"/>
      <c r="V8" s="5"/>
      <c r="W8" s="5"/>
      <c r="X8" s="5"/>
      <c r="Y8" s="5"/>
    </row>
    <row r="9" spans="1:25" s="14" customFormat="1" ht="18">
      <c r="A9" s="11">
        <v>221</v>
      </c>
      <c r="B9" s="12"/>
      <c r="C9" s="12">
        <v>3156</v>
      </c>
      <c r="D9" s="12"/>
      <c r="E9" s="12"/>
      <c r="F9" s="12"/>
      <c r="G9" s="12">
        <v>-3156</v>
      </c>
      <c r="H9" s="12"/>
      <c r="I9" s="12"/>
      <c r="J9" s="12"/>
      <c r="K9" s="12"/>
      <c r="L9" s="12"/>
      <c r="M9" s="12"/>
      <c r="N9" s="17">
        <f t="shared" si="2"/>
        <v>0</v>
      </c>
      <c r="O9" s="44">
        <f t="shared" si="1"/>
        <v>221</v>
      </c>
      <c r="P9" s="19"/>
      <c r="Q9" s="29"/>
      <c r="R9" s="29"/>
      <c r="S9" s="1"/>
      <c r="T9" s="1"/>
      <c r="U9" s="1"/>
      <c r="V9" s="1"/>
      <c r="W9" s="1"/>
      <c r="X9" s="1"/>
      <c r="Y9" s="1"/>
    </row>
    <row r="10" spans="1:25" s="14" customFormat="1" ht="21" customHeight="1">
      <c r="A10" s="13" t="s">
        <v>5</v>
      </c>
      <c r="B10" s="12">
        <f>B11+B12+B13+B14+B15</f>
        <v>21315.9</v>
      </c>
      <c r="C10" s="12">
        <f aca="true" t="shared" si="3" ref="C10:L10">C11+C12+C13+C14+C15</f>
        <v>304874.43</v>
      </c>
      <c r="D10" s="12">
        <f t="shared" si="3"/>
        <v>231183.41</v>
      </c>
      <c r="E10" s="12">
        <f>E11+E12+E13+E14+E15</f>
        <v>225337.63999999998</v>
      </c>
      <c r="F10" s="12">
        <f t="shared" si="3"/>
        <v>102205.51999999999</v>
      </c>
      <c r="G10" s="12">
        <f t="shared" si="3"/>
        <v>29954.610000000004</v>
      </c>
      <c r="H10" s="12">
        <f t="shared" si="3"/>
        <v>19341.940000000002</v>
      </c>
      <c r="I10" s="12">
        <f>I11+I12+I13+I14+I15</f>
        <v>10553.410000000002</v>
      </c>
      <c r="J10" s="12">
        <f t="shared" si="3"/>
        <v>6338.64</v>
      </c>
      <c r="K10" s="12">
        <f t="shared" si="3"/>
        <v>27586.64</v>
      </c>
      <c r="L10" s="12">
        <f t="shared" si="3"/>
        <v>136120.92</v>
      </c>
      <c r="M10" s="12">
        <f>M11+M12+M13+M14+M15</f>
        <v>518550.26</v>
      </c>
      <c r="N10" s="17">
        <f>B10+C10+D10+E10+F10+G10+H10+I10+J10+K10+L10+M10</f>
        <v>1633363.32</v>
      </c>
      <c r="O10" s="44" t="str">
        <f t="shared" si="1"/>
        <v>223 в т.ч.</v>
      </c>
      <c r="P10" s="29"/>
      <c r="Q10" s="29"/>
      <c r="R10" s="29"/>
      <c r="S10" s="1"/>
      <c r="T10" s="1"/>
      <c r="U10" s="1"/>
      <c r="V10" s="1"/>
      <c r="W10" s="1"/>
      <c r="X10" s="1"/>
      <c r="Y10" s="1"/>
    </row>
    <row r="11" spans="1:25" ht="21" customHeight="1">
      <c r="A11" s="9" t="s">
        <v>6</v>
      </c>
      <c r="B11" s="10">
        <f>7.01+9132.38+12176.51</f>
        <v>21315.9</v>
      </c>
      <c r="C11" s="10">
        <f>9132.38+32133.83+21377.09+15779.9</f>
        <v>78423.2</v>
      </c>
      <c r="D11" s="10">
        <f>16032.82+5607.16</f>
        <v>21639.98</v>
      </c>
      <c r="E11" s="10">
        <f>4205.36+8648.36</f>
        <v>12853.720000000001</v>
      </c>
      <c r="F11" s="10">
        <f>5967.2</f>
        <v>5967.2</v>
      </c>
      <c r="G11" s="10">
        <f>8536.68+5184.11+11136.01</f>
        <v>24856.800000000003</v>
      </c>
      <c r="H11" s="10">
        <f>8352.01+6823.72</f>
        <v>15175.73</v>
      </c>
      <c r="I11" s="10">
        <f>5117.8+1532.23</f>
        <v>6650.030000000001</v>
      </c>
      <c r="J11" s="10">
        <f>1149.17+1563.88</f>
        <v>2713.05</v>
      </c>
      <c r="K11" s="10">
        <f>1172.9+6131.14+10432.74</f>
        <v>17736.78</v>
      </c>
      <c r="L11" s="10">
        <f>7824.55+23624.79+14092.18</f>
        <v>45541.520000000004</v>
      </c>
      <c r="M11" s="10">
        <f>10569.13+4546.97+11083.68+5847.19</f>
        <v>32046.969999999998</v>
      </c>
      <c r="N11" s="17">
        <f t="shared" si="2"/>
        <v>284920.87999999995</v>
      </c>
      <c r="O11" s="44" t="str">
        <f t="shared" si="1"/>
        <v>электроэнергия</v>
      </c>
      <c r="P11" s="29">
        <v>140200</v>
      </c>
      <c r="Q11" s="48">
        <f>P11-N11</f>
        <v>-144720.87999999995</v>
      </c>
      <c r="R11" s="29"/>
      <c r="S11" s="1"/>
      <c r="T11" s="1"/>
      <c r="U11" s="1"/>
      <c r="V11" s="1"/>
      <c r="W11" s="1"/>
      <c r="X11" s="1"/>
      <c r="Y11" s="1"/>
    </row>
    <row r="12" spans="1:25" ht="21" customHeight="1">
      <c r="A12" s="9" t="s">
        <v>58</v>
      </c>
      <c r="B12" s="10"/>
      <c r="C12" s="10">
        <f>1024.73+1537.09</f>
        <v>2561.8199999999997</v>
      </c>
      <c r="D12" s="10">
        <v>2561.81</v>
      </c>
      <c r="E12" s="10"/>
      <c r="F12" s="10">
        <v>2049.45</v>
      </c>
      <c r="G12" s="10">
        <f>2049.45</f>
        <v>2049.45</v>
      </c>
      <c r="H12" s="10">
        <v>2561.81</v>
      </c>
      <c r="I12" s="10">
        <f>2049.45+1024.73</f>
        <v>3074.18</v>
      </c>
      <c r="J12" s="10">
        <f>2049.45</f>
        <v>2049.45</v>
      </c>
      <c r="K12" s="10"/>
      <c r="L12" s="10">
        <f>2049.45+2561.81</f>
        <v>4611.26</v>
      </c>
      <c r="M12" s="10">
        <f>2324.22</f>
        <v>2324.22</v>
      </c>
      <c r="N12" s="17">
        <f>B12+C12+D12+E12+F12+G12+H12+I12+J12+K12+L12+M12</f>
        <v>23843.449999999997</v>
      </c>
      <c r="O12" s="44" t="str">
        <f t="shared" si="1"/>
        <v>услуги по обращениб с ТКО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9" t="s">
        <v>33</v>
      </c>
      <c r="B13" s="10"/>
      <c r="C13" s="10">
        <f>216669.61</f>
        <v>216669.61</v>
      </c>
      <c r="D13" s="10">
        <v>204575.02</v>
      </c>
      <c r="E13" s="10">
        <v>209275.12</v>
      </c>
      <c r="F13" s="10">
        <v>78172.87</v>
      </c>
      <c r="G13" s="10"/>
      <c r="H13" s="10"/>
      <c r="I13" s="10"/>
      <c r="J13" s="10"/>
      <c r="K13" s="10"/>
      <c r="L13" s="10">
        <f>63116.14</f>
        <v>63116.14</v>
      </c>
      <c r="M13" s="10">
        <f>180191.18+299921.69</f>
        <v>480112.87</v>
      </c>
      <c r="N13" s="17">
        <f t="shared" si="2"/>
        <v>1251921.63</v>
      </c>
      <c r="O13" s="44" t="str">
        <f t="shared" si="1"/>
        <v>тепловая энергия</v>
      </c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9" t="s">
        <v>7</v>
      </c>
      <c r="B14" s="10"/>
      <c r="C14" s="10">
        <f>2406.6+4813.2</f>
        <v>7219.799999999999</v>
      </c>
      <c r="D14" s="10">
        <f>2406.6</f>
        <v>2406.6</v>
      </c>
      <c r="E14" s="10">
        <v>3208.8</v>
      </c>
      <c r="F14" s="10"/>
      <c r="G14" s="10">
        <v>3048.36</v>
      </c>
      <c r="H14" s="10">
        <v>1604.4</v>
      </c>
      <c r="I14" s="10">
        <f>414.6*2</f>
        <v>829.2</v>
      </c>
      <c r="J14" s="10">
        <f>1576.14</f>
        <v>1576.14</v>
      </c>
      <c r="K14" s="10">
        <f>2569.86</f>
        <v>2569.86</v>
      </c>
      <c r="L14" s="10">
        <f>4146*2</f>
        <v>8292</v>
      </c>
      <c r="M14" s="10">
        <f>4066.2</f>
        <v>4066.2</v>
      </c>
      <c r="N14" s="17">
        <f t="shared" si="2"/>
        <v>34821.36</v>
      </c>
      <c r="O14" s="44" t="str">
        <f t="shared" si="1"/>
        <v>вода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9" t="s">
        <v>8</v>
      </c>
      <c r="B15" s="10"/>
      <c r="C15" s="10"/>
      <c r="D15" s="10"/>
      <c r="E15" s="10"/>
      <c r="F15" s="10">
        <v>16016</v>
      </c>
      <c r="G15" s="10"/>
      <c r="H15" s="10"/>
      <c r="I15" s="10"/>
      <c r="J15" s="10"/>
      <c r="K15" s="10">
        <v>7280</v>
      </c>
      <c r="L15" s="10">
        <f>14560</f>
        <v>14560</v>
      </c>
      <c r="M15" s="10"/>
      <c r="N15" s="17">
        <f t="shared" si="2"/>
        <v>37856</v>
      </c>
      <c r="O15" s="44" t="str">
        <f t="shared" si="1"/>
        <v>вывоз ЖБО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7">
        <f t="shared" si="2"/>
        <v>0</v>
      </c>
      <c r="O16" s="44">
        <f t="shared" si="1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4" customFormat="1" ht="27" customHeight="1">
      <c r="A17" s="32" t="s">
        <v>0</v>
      </c>
      <c r="B17" s="33">
        <f>B18+B19+B20+B21+B23+B24+B25+B26+B27+B28+B29+B30+B31+B32+B33+B37</f>
        <v>702.91</v>
      </c>
      <c r="C17" s="33">
        <f>C18+C19+C20+C21+C23+C24+C25+C26+C27+C28+C29+C30+C31+C32+C33+C37+C34</f>
        <v>21599.510000000002</v>
      </c>
      <c r="D17" s="33">
        <f>D18+D19+D20+D21+D23+D24+D25+D26+D27+D28+D29+D30+D31+D32+D33+D37+D35+D36</f>
        <v>23793.35</v>
      </c>
      <c r="E17" s="33">
        <f>E18+E19+E20+E21+E23+E24+E25+E26+E27+E28+E29+E30+E31+E32+E33+E37+E34</f>
        <v>20331.510000000002</v>
      </c>
      <c r="F17" s="33">
        <f>F18+F19+F20+F21+F23+F24+F25+F26+F27+F28+F29+F30+F31+F32+F33+F37+F36</f>
        <v>23791.510000000002</v>
      </c>
      <c r="G17" s="33">
        <f>G18+G19+G20+G21+G23+G24+G25+G26+G27+G28+G29+G30+G31+G32+G33+G37+G35+G36</f>
        <v>56448.7</v>
      </c>
      <c r="H17" s="33">
        <f>H18+H19+H20+H21+H23+H24+H25+H26+H27+H28+H29+H30+H31+H32+H33+H37</f>
        <v>4728</v>
      </c>
      <c r="I17" s="33">
        <f>I18+I19+I20+I21+I23+I24+I25+I26+I27+I28+I29+I30+I31+I32+I33+I37+I35+I36</f>
        <v>42119</v>
      </c>
      <c r="J17" s="33">
        <f>J18+J19+J20+J21+J23+J24+J25+J26+J27+J28+J29+J30+J31+J32+J33+J37+J36</f>
        <v>21059</v>
      </c>
      <c r="K17" s="33">
        <f>K18+K19+K20+K21+K23+K24+K25+K26+K27+K28+K29+K30+K31+K32+K33+K37+K36</f>
        <v>15899</v>
      </c>
      <c r="L17" s="33">
        <f>L18+L19+L20+L21+L23+L24+L25+L26+L27+L28+L29+L30+L31+L32+L33+L37+L36</f>
        <v>44481.39</v>
      </c>
      <c r="M17" s="33">
        <f>M18+M19+M20+M21+M23+M24+M25+M26+M27+M28+M29+M30+M31+M32+M33+M37+M36+M22+M34</f>
        <v>119425.2</v>
      </c>
      <c r="N17" s="33">
        <f>N18+N19+N20+N21+N22+N23+N24+N25+N26+N27+N28+N29+N30+N31+N32+N33+N34+N35+N36+N37</f>
        <v>394379.08</v>
      </c>
      <c r="O17" s="44" t="str">
        <f t="shared" si="1"/>
        <v>225 в.т.ч.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.75" customHeight="1">
      <c r="A18" s="9" t="s">
        <v>82</v>
      </c>
      <c r="B18" s="10"/>
      <c r="C18" s="10"/>
      <c r="D18" s="10"/>
      <c r="E18" s="10"/>
      <c r="F18" s="10"/>
      <c r="G18" s="10"/>
      <c r="H18" s="10"/>
      <c r="I18" s="10">
        <v>18800</v>
      </c>
      <c r="J18" s="10"/>
      <c r="K18" s="10"/>
      <c r="L18" s="10"/>
      <c r="M18" s="10"/>
      <c r="N18" s="17">
        <f t="shared" si="2"/>
        <v>18800</v>
      </c>
      <c r="O18" s="44" t="str">
        <f t="shared" si="1"/>
        <v>ремонт узла учета тепловой энергии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3" customHeight="1">
      <c r="A19" s="9" t="s">
        <v>9</v>
      </c>
      <c r="B19" s="10"/>
      <c r="C19" s="10">
        <f>4428*2</f>
        <v>8856</v>
      </c>
      <c r="D19" s="10">
        <f>4428</f>
        <v>4428</v>
      </c>
      <c r="E19" s="10">
        <v>4428</v>
      </c>
      <c r="F19" s="10">
        <v>4728</v>
      </c>
      <c r="G19" s="10">
        <v>4728</v>
      </c>
      <c r="H19" s="10">
        <v>4728</v>
      </c>
      <c r="I19" s="10">
        <f>4958.4</f>
        <v>4958.4</v>
      </c>
      <c r="J19" s="10">
        <v>4958.4</v>
      </c>
      <c r="K19" s="10">
        <v>4958.4</v>
      </c>
      <c r="L19" s="10">
        <v>4644</v>
      </c>
      <c r="M19" s="10">
        <v>4644</v>
      </c>
      <c r="N19" s="17">
        <f t="shared" si="2"/>
        <v>56059.200000000004</v>
      </c>
      <c r="O19" s="44" t="str">
        <f t="shared" si="1"/>
        <v>дератизация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5" customHeight="1">
      <c r="A20" s="9" t="s">
        <v>10</v>
      </c>
      <c r="B20" s="10"/>
      <c r="C20" s="10"/>
      <c r="D20" s="10"/>
      <c r="E20" s="10">
        <v>4260</v>
      </c>
      <c r="F20" s="10">
        <v>4260</v>
      </c>
      <c r="G20" s="10"/>
      <c r="H20" s="10"/>
      <c r="I20" s="10">
        <v>4260</v>
      </c>
      <c r="J20" s="10"/>
      <c r="K20" s="10"/>
      <c r="L20" s="10"/>
      <c r="M20" s="10"/>
      <c r="N20" s="17">
        <f t="shared" si="2"/>
        <v>12780</v>
      </c>
      <c r="O20" s="44" t="str">
        <f t="shared" si="1"/>
        <v>борьба с клещами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customHeight="1">
      <c r="A21" s="9" t="s">
        <v>65</v>
      </c>
      <c r="B21" s="10"/>
      <c r="C21" s="10"/>
      <c r="D21" s="10"/>
      <c r="E21" s="10"/>
      <c r="F21" s="10">
        <v>4260</v>
      </c>
      <c r="G21" s="10"/>
      <c r="H21" s="10"/>
      <c r="I21" s="10">
        <v>4260</v>
      </c>
      <c r="J21" s="10">
        <v>4260</v>
      </c>
      <c r="K21" s="10"/>
      <c r="L21" s="10"/>
      <c r="M21" s="10"/>
      <c r="N21" s="17">
        <f t="shared" si="2"/>
        <v>12780</v>
      </c>
      <c r="O21" s="44" t="str">
        <f t="shared" si="1"/>
        <v>борьба с комарами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4" customHeight="1">
      <c r="A22" s="9" t="s">
        <v>88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92000</v>
      </c>
      <c r="N22" s="17">
        <f t="shared" si="2"/>
        <v>92000</v>
      </c>
      <c r="O22" s="44" t="str">
        <f t="shared" si="1"/>
        <v>ремонт 2-х кабинетов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2.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7">
        <f t="shared" si="2"/>
        <v>0</v>
      </c>
      <c r="O23" s="44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" customHeight="1">
      <c r="A24" s="9" t="s">
        <v>11</v>
      </c>
      <c r="B24" s="10">
        <v>702.91</v>
      </c>
      <c r="C24" s="10">
        <v>702.91</v>
      </c>
      <c r="D24" s="10">
        <v>6424.75</v>
      </c>
      <c r="E24" s="10">
        <v>702.91</v>
      </c>
      <c r="F24" s="10">
        <v>702.91</v>
      </c>
      <c r="G24" s="10">
        <v>2496.3</v>
      </c>
      <c r="H24" s="10"/>
      <c r="I24" s="10"/>
      <c r="J24" s="10"/>
      <c r="K24" s="10"/>
      <c r="L24" s="10">
        <v>28896.79</v>
      </c>
      <c r="M24" s="10"/>
      <c r="N24" s="17">
        <f t="shared" si="2"/>
        <v>40629.479999999996</v>
      </c>
      <c r="O24" s="44" t="str">
        <f t="shared" si="1"/>
        <v>ПТО газ.оборудования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4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7">
        <f t="shared" si="2"/>
        <v>0</v>
      </c>
      <c r="O25" s="44">
        <f t="shared" si="1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8.5" customHeight="1">
      <c r="A26" s="9" t="s">
        <v>43</v>
      </c>
      <c r="B26" s="10"/>
      <c r="C26" s="10">
        <f>1100*2</f>
        <v>2200</v>
      </c>
      <c r="D26" s="10">
        <v>1100</v>
      </c>
      <c r="E26" s="10">
        <v>1100</v>
      </c>
      <c r="F26" s="10"/>
      <c r="G26" s="10"/>
      <c r="H26" s="10"/>
      <c r="I26" s="10"/>
      <c r="J26" s="10"/>
      <c r="K26" s="10">
        <v>1100</v>
      </c>
      <c r="L26" s="10">
        <v>1100</v>
      </c>
      <c r="M26" s="10">
        <v>1100</v>
      </c>
      <c r="N26" s="17">
        <f t="shared" si="2"/>
        <v>7700</v>
      </c>
      <c r="O26" s="44" t="str">
        <f t="shared" si="1"/>
        <v>обслуж.теплосчетчиков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5.5" customHeight="1">
      <c r="A27" s="9" t="s">
        <v>44</v>
      </c>
      <c r="B27" s="10"/>
      <c r="C27" s="10"/>
      <c r="D27" s="10"/>
      <c r="E27" s="10"/>
      <c r="F27" s="10"/>
      <c r="G27" s="10">
        <v>12365.2</v>
      </c>
      <c r="H27" s="10"/>
      <c r="I27" s="10"/>
      <c r="J27" s="10"/>
      <c r="K27" s="10"/>
      <c r="L27" s="10"/>
      <c r="M27" s="10"/>
      <c r="N27" s="17">
        <f t="shared" si="2"/>
        <v>12365.2</v>
      </c>
      <c r="O27" s="44" t="str">
        <f t="shared" si="1"/>
        <v>гидравлич.испытания трубопровода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7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30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7"/>
      <c r="O29" s="44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36.75" customHeight="1">
      <c r="A30" s="9" t="s">
        <v>12</v>
      </c>
      <c r="B30" s="10"/>
      <c r="C30" s="10"/>
      <c r="D30" s="10"/>
      <c r="E30" s="10"/>
      <c r="F30" s="10"/>
      <c r="G30" s="10">
        <v>8678</v>
      </c>
      <c r="H30" s="10"/>
      <c r="I30" s="10"/>
      <c r="J30" s="10"/>
      <c r="K30" s="10"/>
      <c r="L30" s="10"/>
      <c r="M30" s="10"/>
      <c r="N30" s="17">
        <f t="shared" si="2"/>
        <v>8678</v>
      </c>
      <c r="O30" s="44" t="str">
        <f t="shared" si="1"/>
        <v>проф.испытание эл.оборудования до 1000 В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6" customHeight="1">
      <c r="A31" s="9" t="s">
        <v>13</v>
      </c>
      <c r="B31" s="10"/>
      <c r="C31" s="10"/>
      <c r="D31" s="10"/>
      <c r="E31" s="10"/>
      <c r="F31" s="10"/>
      <c r="G31" s="10">
        <v>6500</v>
      </c>
      <c r="H31" s="10"/>
      <c r="I31" s="10"/>
      <c r="J31" s="10"/>
      <c r="K31" s="10"/>
      <c r="L31" s="10"/>
      <c r="M31" s="10"/>
      <c r="N31" s="17">
        <f t="shared" si="2"/>
        <v>6500</v>
      </c>
      <c r="O31" s="44" t="str">
        <f t="shared" si="1"/>
        <v>поверка средст защиты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0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7"/>
      <c r="O32" s="44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" customHeight="1">
      <c r="A33" s="9" t="s">
        <v>47</v>
      </c>
      <c r="B33" s="10"/>
      <c r="C33" s="10">
        <v>9840.6</v>
      </c>
      <c r="D33" s="10">
        <v>9840.6</v>
      </c>
      <c r="E33" s="10">
        <v>9840.6</v>
      </c>
      <c r="F33" s="10">
        <v>9840.6</v>
      </c>
      <c r="G33" s="10">
        <f>9840.6*2</f>
        <v>19681.2</v>
      </c>
      <c r="H33" s="10"/>
      <c r="I33" s="10">
        <f>9840.6</f>
        <v>9840.6</v>
      </c>
      <c r="J33" s="10">
        <v>9840.6</v>
      </c>
      <c r="K33" s="10">
        <v>9840.6</v>
      </c>
      <c r="L33" s="10">
        <v>9840.6</v>
      </c>
      <c r="M33" s="10">
        <f>9840.6*2</f>
        <v>19681.2</v>
      </c>
      <c r="N33" s="17">
        <f t="shared" si="2"/>
        <v>118087.20000000003</v>
      </c>
      <c r="O33" s="44" t="str">
        <f t="shared" si="1"/>
        <v>тех.обслуживание АПС </v>
      </c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 customHeight="1">
      <c r="A34" s="9" t="s">
        <v>76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7">
        <f t="shared" si="2"/>
        <v>0</v>
      </c>
      <c r="O34" s="44" t="str">
        <f t="shared" si="1"/>
        <v>обработка от Ковид</v>
      </c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1.5" customHeight="1">
      <c r="A35" s="9" t="s">
        <v>71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7">
        <f t="shared" si="2"/>
        <v>0</v>
      </c>
      <c r="O35" s="44" t="str">
        <f t="shared" si="1"/>
        <v>ремонт системы отопления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1.5" customHeight="1">
      <c r="A36" s="9" t="s">
        <v>64</v>
      </c>
      <c r="B36" s="10"/>
      <c r="C36" s="10"/>
      <c r="D36" s="10">
        <v>2000</v>
      </c>
      <c r="E36" s="10"/>
      <c r="F36" s="10"/>
      <c r="G36" s="10">
        <v>2000</v>
      </c>
      <c r="H36" s="10"/>
      <c r="I36" s="10"/>
      <c r="J36" s="10">
        <v>2000</v>
      </c>
      <c r="K36" s="10"/>
      <c r="L36" s="10"/>
      <c r="M36" s="10">
        <v>2000</v>
      </c>
      <c r="N36" s="17">
        <f t="shared" si="2"/>
        <v>8000</v>
      </c>
      <c r="O36" s="44" t="str">
        <f t="shared" si="1"/>
        <v>обслуживание системы видеонаблюдения</v>
      </c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>
      <c r="A37" s="9" t="s">
        <v>72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7">
        <f t="shared" si="2"/>
        <v>0</v>
      </c>
      <c r="O37" s="44" t="str">
        <f t="shared" si="1"/>
        <v>ремонт АПС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4" customFormat="1" ht="27" customHeight="1">
      <c r="A38" s="13" t="s">
        <v>1</v>
      </c>
      <c r="B38" s="12">
        <f>B39+B40+B41+B42+B43+B44+B45+B46+B47+B48+B49+B50+B51+B52+B53+B54+B55+B56+B57+B58+B59</f>
        <v>0</v>
      </c>
      <c r="C38" s="12">
        <f aca="true" t="shared" si="4" ref="C38:N38">C39+C40+C41+C42+C43+C44+C45+C46+C47+C48+C49+C50+C51+C52+C53+C54+C55+C56+C57+C58+C59</f>
        <v>29108</v>
      </c>
      <c r="D38" s="12">
        <f t="shared" si="4"/>
        <v>40356</v>
      </c>
      <c r="E38" s="12">
        <f t="shared" si="4"/>
        <v>39195.94</v>
      </c>
      <c r="F38" s="12">
        <f t="shared" si="4"/>
        <v>46856</v>
      </c>
      <c r="G38" s="12">
        <f t="shared" si="4"/>
        <v>104166.44</v>
      </c>
      <c r="H38" s="12">
        <f t="shared" si="4"/>
        <v>77673</v>
      </c>
      <c r="I38" s="12">
        <f t="shared" si="4"/>
        <v>5416</v>
      </c>
      <c r="J38" s="12">
        <f t="shared" si="4"/>
        <v>4208</v>
      </c>
      <c r="K38" s="12">
        <f t="shared" si="4"/>
        <v>38720</v>
      </c>
      <c r="L38" s="12">
        <f t="shared" si="4"/>
        <v>118256</v>
      </c>
      <c r="M38" s="12">
        <f t="shared" si="4"/>
        <v>57614.22</v>
      </c>
      <c r="N38" s="12">
        <f t="shared" si="4"/>
        <v>561569.6</v>
      </c>
      <c r="O38" s="44" t="str">
        <f t="shared" si="1"/>
        <v>226 в т.ч.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6" customFormat="1" ht="27" customHeight="1">
      <c r="A39" s="9" t="s">
        <v>14</v>
      </c>
      <c r="B39" s="10"/>
      <c r="C39" s="10"/>
      <c r="D39" s="10"/>
      <c r="E39" s="10">
        <f>3385.94+2930</f>
        <v>6315.9400000000005</v>
      </c>
      <c r="F39" s="10">
        <v>6240</v>
      </c>
      <c r="G39" s="10"/>
      <c r="H39" s="10">
        <v>29673</v>
      </c>
      <c r="I39" s="10"/>
      <c r="J39" s="10"/>
      <c r="K39" s="10"/>
      <c r="L39" s="10"/>
      <c r="M39" s="10">
        <f>5668.34+1433.94+783.94+2420</f>
        <v>10306.220000000001</v>
      </c>
      <c r="N39" s="17">
        <f>B39+C39+D39+E39+F39+G39+H39+I39+J39+K39+L39+M39</f>
        <v>52535.16</v>
      </c>
      <c r="O39" s="44" t="str">
        <f t="shared" si="1"/>
        <v>медосмотр сотрудников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6" customFormat="1" ht="25.5" customHeight="1">
      <c r="A40" s="9" t="s">
        <v>89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>
        <v>18000</v>
      </c>
      <c r="N40" s="17">
        <f t="shared" si="2"/>
        <v>18000</v>
      </c>
      <c r="O40" s="44" t="str">
        <f t="shared" si="1"/>
        <v>Парус Дон свед.отчетности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6" customFormat="1" ht="33" customHeight="1">
      <c r="A41" s="9" t="s">
        <v>86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>
        <v>50000</v>
      </c>
      <c r="M41" s="10"/>
      <c r="N41" s="17">
        <f t="shared" si="2"/>
        <v>50000</v>
      </c>
      <c r="O41" s="44" t="str">
        <f t="shared" si="1"/>
        <v>паспорт доступности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6" customFormat="1" ht="31.5" customHeight="1">
      <c r="A42" s="9" t="s">
        <v>91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>
        <v>14500</v>
      </c>
      <c r="N42" s="17">
        <f aca="true" t="shared" si="5" ref="N42:N80">B42+C42+D42+E42+F42+G42+H42+I42+J42+K42+L42+M42</f>
        <v>14500</v>
      </c>
      <c r="O42" s="44" t="str">
        <f t="shared" si="1"/>
        <v>обучение  44 фз</v>
      </c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6" customFormat="1" ht="33" customHeight="1">
      <c r="A43" s="9" t="s">
        <v>62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>
        <v>7000</v>
      </c>
      <c r="M43" s="10"/>
      <c r="N43" s="17">
        <f t="shared" si="5"/>
        <v>7000</v>
      </c>
      <c r="O43" s="44" t="str">
        <f t="shared" si="1"/>
        <v>скорая помощь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6" customFormat="1" ht="30" customHeight="1">
      <c r="A44" s="9" t="s">
        <v>54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7">
        <f t="shared" si="5"/>
        <v>0</v>
      </c>
      <c r="O44" s="44" t="str">
        <f t="shared" si="1"/>
        <v>отщип (Лаб.испытания огнезащиты)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6" customFormat="1" ht="31.5" customHeight="1">
      <c r="A45" s="9" t="s">
        <v>19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7">
        <f t="shared" si="5"/>
        <v>0</v>
      </c>
      <c r="O45" s="44" t="str">
        <f t="shared" si="1"/>
        <v>пож.технич.минимум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6" customFormat="1" ht="28.5" customHeight="1">
      <c r="A46" s="9" t="s">
        <v>22</v>
      </c>
      <c r="B46" s="10"/>
      <c r="C46" s="10"/>
      <c r="D46" s="10"/>
      <c r="E46" s="10">
        <v>1200</v>
      </c>
      <c r="F46" s="10"/>
      <c r="G46" s="10"/>
      <c r="H46" s="10"/>
      <c r="I46" s="10"/>
      <c r="J46" s="10"/>
      <c r="K46" s="10"/>
      <c r="L46" s="10"/>
      <c r="M46" s="10"/>
      <c r="N46" s="17">
        <f t="shared" si="5"/>
        <v>1200</v>
      </c>
      <c r="O46" s="44" t="str">
        <f t="shared" si="1"/>
        <v>обучение отв за теплохоз.и эл.хоз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6" customFormat="1" ht="30" customHeight="1">
      <c r="A47" s="9" t="s">
        <v>70</v>
      </c>
      <c r="B47" s="10"/>
      <c r="C47" s="10"/>
      <c r="D47" s="10"/>
      <c r="E47" s="10"/>
      <c r="F47" s="10"/>
      <c r="G47" s="49"/>
      <c r="H47" s="10">
        <v>6000</v>
      </c>
      <c r="I47" s="10"/>
      <c r="J47" s="10"/>
      <c r="K47" s="10"/>
      <c r="L47" s="10"/>
      <c r="M47" s="10">
        <v>6000</v>
      </c>
      <c r="N47" s="17">
        <f t="shared" si="5"/>
        <v>12000</v>
      </c>
      <c r="O47" s="44" t="str">
        <f>A47</f>
        <v>испытания пож.рукавов </v>
      </c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6" customFormat="1" ht="43.5" customHeight="1">
      <c r="A48" s="9" t="s">
        <v>80</v>
      </c>
      <c r="B48" s="10"/>
      <c r="C48" s="10"/>
      <c r="D48" s="10"/>
      <c r="E48" s="10"/>
      <c r="F48" s="10"/>
      <c r="G48" s="10">
        <v>39138.44</v>
      </c>
      <c r="H48" s="10"/>
      <c r="I48" s="10"/>
      <c r="J48" s="10"/>
      <c r="K48" s="10"/>
      <c r="L48" s="10"/>
      <c r="M48" s="10"/>
      <c r="N48" s="17">
        <f t="shared" si="5"/>
        <v>39138.44</v>
      </c>
      <c r="O48" s="44" t="str">
        <f>A48</f>
        <v>обраб.дер.констр. И одежды сцены</v>
      </c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6" customFormat="1" ht="22.5" customHeight="1">
      <c r="A49" s="9" t="s">
        <v>78</v>
      </c>
      <c r="B49" s="10"/>
      <c r="C49" s="10">
        <v>26400</v>
      </c>
      <c r="D49" s="10">
        <v>33440</v>
      </c>
      <c r="E49" s="10">
        <v>31680</v>
      </c>
      <c r="F49" s="10">
        <v>35200</v>
      </c>
      <c r="G49" s="10">
        <f>31680+24640</f>
        <v>56320</v>
      </c>
      <c r="H49" s="10"/>
      <c r="I49" s="10"/>
      <c r="J49" s="10"/>
      <c r="K49" s="10">
        <v>38720</v>
      </c>
      <c r="L49" s="10">
        <v>35200</v>
      </c>
      <c r="M49" s="10"/>
      <c r="N49" s="17">
        <f t="shared" si="5"/>
        <v>256960</v>
      </c>
      <c r="O49" s="44" t="str">
        <f t="shared" si="1"/>
        <v>физохрана</v>
      </c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6" customFormat="1" ht="24" customHeight="1">
      <c r="A50" s="9" t="s">
        <v>42</v>
      </c>
      <c r="B50" s="10"/>
      <c r="C50" s="10">
        <v>2708</v>
      </c>
      <c r="D50" s="10">
        <f>2708*2</f>
        <v>5416</v>
      </c>
      <c r="E50" s="10"/>
      <c r="F50" s="10">
        <f>2708*2</f>
        <v>5416</v>
      </c>
      <c r="G50" s="10">
        <f>2708</f>
        <v>2708</v>
      </c>
      <c r="H50" s="10"/>
      <c r="I50" s="10">
        <f>2708*2</f>
        <v>5416</v>
      </c>
      <c r="J50" s="10">
        <f>2708</f>
        <v>2708</v>
      </c>
      <c r="K50" s="10"/>
      <c r="L50" s="10">
        <f>2708*2</f>
        <v>5416</v>
      </c>
      <c r="M50" s="10">
        <f>2708</f>
        <v>2708</v>
      </c>
      <c r="N50" s="17">
        <f t="shared" si="5"/>
        <v>32496</v>
      </c>
      <c r="O50" s="44" t="str">
        <f t="shared" si="1"/>
        <v>охранные услуги </v>
      </c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6" customFormat="1" ht="33" customHeight="1">
      <c r="A51" s="9" t="s">
        <v>55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7">
        <f t="shared" si="5"/>
        <v>0</v>
      </c>
      <c r="O51" s="44" t="str">
        <f t="shared" si="1"/>
        <v>утилизация люм.ламп</v>
      </c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6" customFormat="1" ht="27" customHeight="1">
      <c r="A52" s="9" t="s">
        <v>48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>
        <f>14040</f>
        <v>14040</v>
      </c>
      <c r="M52" s="10"/>
      <c r="N52" s="17">
        <f t="shared" si="5"/>
        <v>14040</v>
      </c>
      <c r="O52" s="44" t="str">
        <f t="shared" si="1"/>
        <v>гиг.обучение</v>
      </c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6" customFormat="1" ht="27" customHeight="1">
      <c r="A53" s="9" t="s">
        <v>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>
        <v>4600</v>
      </c>
      <c r="N53" s="17">
        <f t="shared" si="5"/>
        <v>4600</v>
      </c>
      <c r="O53" s="44" t="str">
        <f>A53</f>
        <v>обучение директора</v>
      </c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6" customFormat="1" ht="27" customHeight="1">
      <c r="A54" s="9" t="s">
        <v>57</v>
      </c>
      <c r="B54" s="10"/>
      <c r="C54" s="10"/>
      <c r="D54" s="10"/>
      <c r="E54" s="10"/>
      <c r="F54" s="10"/>
      <c r="G54" s="10">
        <v>4500</v>
      </c>
      <c r="H54" s="10"/>
      <c r="I54" s="10"/>
      <c r="J54" s="10"/>
      <c r="K54" s="10"/>
      <c r="L54" s="10"/>
      <c r="M54" s="10"/>
      <c r="N54" s="17">
        <f t="shared" si="5"/>
        <v>4500</v>
      </c>
      <c r="O54" s="44" t="str">
        <f t="shared" si="1"/>
        <v>обучение бухгалтера</v>
      </c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6" customFormat="1" ht="46.5" customHeight="1">
      <c r="A55" s="9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>
        <v>6600</v>
      </c>
      <c r="M55" s="10"/>
      <c r="N55" s="17">
        <f t="shared" si="5"/>
        <v>6600</v>
      </c>
      <c r="O55" s="44" t="str">
        <f t="shared" si="1"/>
        <v>обучение охрана труда</v>
      </c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6" customFormat="1" ht="28.5" customHeight="1">
      <c r="A56" s="9" t="s">
        <v>81</v>
      </c>
      <c r="B56" s="10"/>
      <c r="C56" s="10"/>
      <c r="D56" s="10"/>
      <c r="E56" s="10"/>
      <c r="F56" s="10"/>
      <c r="G56" s="10"/>
      <c r="H56" s="10">
        <v>42000</v>
      </c>
      <c r="I56" s="10"/>
      <c r="J56" s="10"/>
      <c r="K56" s="10"/>
      <c r="L56" s="10"/>
      <c r="M56" s="10"/>
      <c r="N56" s="17">
        <f t="shared" si="5"/>
        <v>42000</v>
      </c>
      <c r="O56" s="44" t="str">
        <f t="shared" si="1"/>
        <v>поверка теплового счетчика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6" customFormat="1" ht="28.5" customHeight="1">
      <c r="A57" s="9" t="s">
        <v>63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7">
        <f t="shared" si="5"/>
        <v>0</v>
      </c>
      <c r="O57" s="44" t="str">
        <f t="shared" si="1"/>
        <v>РЦИС система Дело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6" customFormat="1" ht="36">
      <c r="A58" s="9" t="s">
        <v>79</v>
      </c>
      <c r="B58" s="10"/>
      <c r="C58" s="10"/>
      <c r="D58" s="10">
        <v>1500</v>
      </c>
      <c r="E58" s="10"/>
      <c r="F58" s="10"/>
      <c r="G58" s="10">
        <v>1500</v>
      </c>
      <c r="H58" s="10"/>
      <c r="I58" s="10"/>
      <c r="J58" s="10">
        <v>1500</v>
      </c>
      <c r="K58" s="10"/>
      <c r="L58" s="10"/>
      <c r="M58" s="10">
        <v>1500</v>
      </c>
      <c r="N58" s="17">
        <f t="shared" si="5"/>
        <v>6000</v>
      </c>
      <c r="O58" s="44" t="str">
        <f t="shared" si="1"/>
        <v>ТО системы трев.сигнализ (Росгвардии связь)</v>
      </c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6" customFormat="1" ht="18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7">
        <f t="shared" si="5"/>
        <v>0</v>
      </c>
      <c r="O59" s="44">
        <f t="shared" si="1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14" customFormat="1" ht="34.5" customHeight="1">
      <c r="A60" s="13" t="s">
        <v>15</v>
      </c>
      <c r="B60" s="12">
        <f>B61+B62+B63+B64+B65+B66+B67</f>
        <v>0</v>
      </c>
      <c r="C60" s="12">
        <f>C61+C62+C63+C64+C65+C66+C67</f>
        <v>0</v>
      </c>
      <c r="D60" s="12">
        <f>D61+D62+D63+D64+D65+D66+D67</f>
        <v>0</v>
      </c>
      <c r="E60" s="12">
        <f>E61+E62+E63+E64+E65+E66+E67</f>
        <v>44439</v>
      </c>
      <c r="F60" s="12">
        <f aca="true" t="shared" si="6" ref="F60:M60">F61+F62+F63+F64+F65+F66+F67</f>
        <v>0</v>
      </c>
      <c r="G60" s="12">
        <f t="shared" si="6"/>
        <v>1272</v>
      </c>
      <c r="H60" s="12">
        <f>H61+H62+H63+H64+H65+H66+H67</f>
        <v>43167</v>
      </c>
      <c r="I60" s="12">
        <f t="shared" si="6"/>
        <v>0</v>
      </c>
      <c r="J60" s="12">
        <f t="shared" si="6"/>
        <v>0</v>
      </c>
      <c r="K60" s="12">
        <f t="shared" si="6"/>
        <v>44439</v>
      </c>
      <c r="L60" s="12">
        <f t="shared" si="6"/>
        <v>0</v>
      </c>
      <c r="M60" s="12">
        <f t="shared" si="6"/>
        <v>24158.21</v>
      </c>
      <c r="N60" s="17">
        <f t="shared" si="5"/>
        <v>157475.21</v>
      </c>
      <c r="O60" s="44" t="str">
        <f t="shared" si="1"/>
        <v>290 в.т.ч.</v>
      </c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6" customFormat="1" ht="28.5" customHeight="1">
      <c r="A61" s="9" t="s">
        <v>35</v>
      </c>
      <c r="B61" s="10"/>
      <c r="C61" s="10"/>
      <c r="D61" s="10"/>
      <c r="E61" s="10">
        <v>35000</v>
      </c>
      <c r="F61" s="10"/>
      <c r="G61" s="10"/>
      <c r="H61" s="10">
        <v>35000</v>
      </c>
      <c r="I61" s="10"/>
      <c r="J61" s="10"/>
      <c r="K61" s="10">
        <v>35000</v>
      </c>
      <c r="L61" s="10"/>
      <c r="M61" s="10">
        <v>14720.21</v>
      </c>
      <c r="N61" s="17">
        <f t="shared" si="5"/>
        <v>119720.20999999999</v>
      </c>
      <c r="O61" s="44" t="str">
        <f t="shared" si="1"/>
        <v>налог на имущество</v>
      </c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6" customFormat="1" ht="21" customHeight="1">
      <c r="A62" s="9" t="s">
        <v>68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7">
        <f t="shared" si="5"/>
        <v>0</v>
      </c>
      <c r="O62" s="44" t="str">
        <f t="shared" si="1"/>
        <v>штраф СЭС</v>
      </c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6" customFormat="1" ht="25.5" customHeight="1">
      <c r="A63" s="9" t="s">
        <v>16</v>
      </c>
      <c r="B63" s="10"/>
      <c r="C63" s="10"/>
      <c r="D63" s="10"/>
      <c r="E63" s="10">
        <v>9439</v>
      </c>
      <c r="F63" s="10"/>
      <c r="G63" s="10">
        <v>1272</v>
      </c>
      <c r="H63" s="10">
        <v>8167</v>
      </c>
      <c r="I63" s="10"/>
      <c r="J63" s="10"/>
      <c r="K63" s="10">
        <v>9439</v>
      </c>
      <c r="L63" s="10"/>
      <c r="M63" s="10">
        <v>9438</v>
      </c>
      <c r="N63" s="17">
        <f t="shared" si="5"/>
        <v>37755</v>
      </c>
      <c r="O63" s="44" t="str">
        <f t="shared" si="1"/>
        <v>земельный налог</v>
      </c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6" customFormat="1" ht="27" customHeight="1">
      <c r="A64" s="9" t="s">
        <v>20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7">
        <f t="shared" si="5"/>
        <v>0</v>
      </c>
      <c r="O64" s="44" t="str">
        <f t="shared" si="1"/>
        <v>налог за загрязнение окр.среды</v>
      </c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6" customFormat="1" ht="31.5" customHeight="1">
      <c r="A65" s="9" t="s">
        <v>17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7">
        <f t="shared" si="5"/>
        <v>0</v>
      </c>
      <c r="O65" s="44" t="str">
        <f t="shared" si="1"/>
        <v>пени, штрафы</v>
      </c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6" customFormat="1" ht="27" customHeight="1">
      <c r="A66" s="9" t="s">
        <v>18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7">
        <f t="shared" si="5"/>
        <v>0</v>
      </c>
      <c r="O66" s="44" t="str">
        <f t="shared" si="1"/>
        <v>оформ лицензии</v>
      </c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30" customHeight="1">
      <c r="A67" s="9" t="s">
        <v>21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7">
        <f t="shared" si="5"/>
        <v>0</v>
      </c>
      <c r="O67" s="44" t="str">
        <f t="shared" si="1"/>
        <v>гос.пошлина</v>
      </c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14" customFormat="1" ht="31.5" customHeight="1">
      <c r="A68" s="11" t="s">
        <v>4</v>
      </c>
      <c r="B68" s="12">
        <f>B69</f>
        <v>0</v>
      </c>
      <c r="C68" s="12">
        <f>C69</f>
        <v>0</v>
      </c>
      <c r="D68" s="12">
        <f>D69</f>
        <v>0</v>
      </c>
      <c r="E68" s="12">
        <f>E69</f>
        <v>0</v>
      </c>
      <c r="F68" s="12">
        <f>F69+F70</f>
        <v>0</v>
      </c>
      <c r="G68" s="12">
        <f>G69+G70+G71+G72+G73</f>
        <v>0</v>
      </c>
      <c r="H68" s="12">
        <f aca="true" t="shared" si="7" ref="H68:N68">H69+H70+H71+H72+H73</f>
        <v>9450</v>
      </c>
      <c r="I68" s="12">
        <f t="shared" si="7"/>
        <v>0</v>
      </c>
      <c r="J68" s="12">
        <f t="shared" si="7"/>
        <v>0</v>
      </c>
      <c r="K68" s="12">
        <f t="shared" si="7"/>
        <v>0</v>
      </c>
      <c r="L68" s="12">
        <f t="shared" si="7"/>
        <v>100500.65</v>
      </c>
      <c r="M68" s="12">
        <f>M69+M70+M71+M72+M73</f>
        <v>0</v>
      </c>
      <c r="N68" s="12">
        <f t="shared" si="7"/>
        <v>109950.65</v>
      </c>
      <c r="O68" s="44" t="str">
        <f t="shared" si="1"/>
        <v>310 в т.ч. </v>
      </c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6" customFormat="1" ht="19.5" customHeight="1">
      <c r="A69" s="9" t="s">
        <v>61</v>
      </c>
      <c r="B69" s="10"/>
      <c r="C69" s="10"/>
      <c r="D69" s="10"/>
      <c r="E69" s="10"/>
      <c r="F69" s="10"/>
      <c r="G69" s="10"/>
      <c r="H69" s="10">
        <v>9450</v>
      </c>
      <c r="I69" s="10"/>
      <c r="J69" s="10"/>
      <c r="K69" s="10"/>
      <c r="L69" s="10"/>
      <c r="M69" s="10"/>
      <c r="N69" s="17">
        <f>B69+C69+D69+E69+F69+G69+H69+I69+J69+K69+L69+M69</f>
        <v>9450</v>
      </c>
      <c r="O69" s="44" t="str">
        <f aca="true" t="shared" si="8" ref="O69:O92">A69</f>
        <v>огнетушители</v>
      </c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6" customFormat="1" ht="27" customHeight="1">
      <c r="A70" s="9" t="s">
        <v>69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>
        <f>28900.65+9600</f>
        <v>38500.65</v>
      </c>
      <c r="M70" s="10"/>
      <c r="N70" s="17">
        <f>B70+C70+D70+E70+F70+G70+H70+I70+J70+K70+L70+M70</f>
        <v>38500.65</v>
      </c>
      <c r="O70" s="44" t="str">
        <f t="shared" si="8"/>
        <v>косилка</v>
      </c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6" customFormat="1" ht="27" customHeight="1">
      <c r="A71" s="9" t="s">
        <v>85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>
        <v>62000</v>
      </c>
      <c r="M71" s="10"/>
      <c r="N71" s="17">
        <f>B71+C71+D71+E71+F71+G71+H71+I71+J71+K71+L71+M71</f>
        <v>62000</v>
      </c>
      <c r="O71" s="44" t="str">
        <f t="shared" si="8"/>
        <v>сплит система</v>
      </c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6" customFormat="1" ht="27" customHeight="1">
      <c r="A72" s="9" t="s">
        <v>73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7">
        <f>B72+C72+D72+E72+F72+G72+H72+I72+J72+K72+L72+M72</f>
        <v>0</v>
      </c>
      <c r="O72" s="44" t="str">
        <f t="shared" si="8"/>
        <v>ноутбук</v>
      </c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6" customFormat="1" ht="28.5" customHeight="1">
      <c r="A73" s="9" t="s">
        <v>75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7">
        <f t="shared" si="5"/>
        <v>0</v>
      </c>
      <c r="O73" s="44" t="str">
        <f t="shared" si="8"/>
        <v>звуковое оповещение</v>
      </c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14" customFormat="1" ht="34.5" customHeight="1">
      <c r="A74" s="13" t="s">
        <v>2</v>
      </c>
      <c r="B74" s="12">
        <f>B75+B76+B78+B84+B83</f>
        <v>0</v>
      </c>
      <c r="C74" s="12">
        <f>C75+C76+C78+C84+C83</f>
        <v>0</v>
      </c>
      <c r="D74" s="12">
        <f>D75+D76+D77+D78+D84+D79+D80+D81+D82+D83</f>
        <v>0</v>
      </c>
      <c r="E74" s="12">
        <f>E75+E76+E77+E78+E84+E79+E80+E81+E82+E83</f>
        <v>0</v>
      </c>
      <c r="F74" s="12">
        <f>F75+F76+F77+F78+F84+F79+F80+F81+F82+F83</f>
        <v>1960</v>
      </c>
      <c r="G74" s="12">
        <f>G75+G76+G77+G78+G84+G79+G80+G81+G82+G83</f>
        <v>41960</v>
      </c>
      <c r="H74" s="12">
        <f>H75+H76+H77+H78+H79+H80+H81+H82+H83+H84</f>
        <v>0</v>
      </c>
      <c r="I74" s="12">
        <f>I75+I76+I78+I84+I83+I77+I81</f>
        <v>1960</v>
      </c>
      <c r="J74" s="12">
        <f>J75+J76+J78+J84+J82+J83+J80+J77</f>
        <v>3785</v>
      </c>
      <c r="K74" s="12">
        <f>K75+K76+K78+K84+K82+K83+K80+K77</f>
        <v>0</v>
      </c>
      <c r="L74" s="12">
        <f>L75+L76+L78+L84+L82+L83+L80+L77</f>
        <v>175106.08000000002</v>
      </c>
      <c r="M74" s="12">
        <f>M75+M76+M77+M78+M79+M80+M81+M82+M83+M84</f>
        <v>373991.06</v>
      </c>
      <c r="N74" s="17">
        <f>B74+C74+D74+E74+F74+G74+H74+I74+J74+K74+L74+M74</f>
        <v>598762.14</v>
      </c>
      <c r="O74" s="44" t="str">
        <f t="shared" si="8"/>
        <v>340 в т.ч.</v>
      </c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0" customHeight="1">
      <c r="A75" s="9" t="s">
        <v>60</v>
      </c>
      <c r="B75" s="10"/>
      <c r="C75" s="10"/>
      <c r="D75" s="10"/>
      <c r="E75" s="10"/>
      <c r="F75" s="10">
        <v>1960</v>
      </c>
      <c r="G75" s="10">
        <v>1960</v>
      </c>
      <c r="H75" s="10"/>
      <c r="I75" s="10">
        <v>1960</v>
      </c>
      <c r="J75" s="10">
        <v>3185</v>
      </c>
      <c r="K75" s="10"/>
      <c r="L75" s="10"/>
      <c r="M75" s="10"/>
      <c r="N75" s="17">
        <f t="shared" si="5"/>
        <v>9065</v>
      </c>
      <c r="O75" s="44" t="str">
        <f t="shared" si="8"/>
        <v>ГСМ на бензокосу</v>
      </c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5.5" customHeight="1">
      <c r="A76" s="9" t="s">
        <v>66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>
        <v>33500</v>
      </c>
      <c r="M76" s="10">
        <f>33500+30000</f>
        <v>63500</v>
      </c>
      <c r="N76" s="17">
        <f t="shared" si="5"/>
        <v>97000</v>
      </c>
      <c r="O76" s="44" t="str">
        <f t="shared" si="8"/>
        <v>канцтовары</v>
      </c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customHeight="1">
      <c r="A77" s="9" t="s">
        <v>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>
        <f>113990+3606</f>
        <v>117596</v>
      </c>
      <c r="M77" s="10"/>
      <c r="N77" s="17">
        <f t="shared" si="5"/>
        <v>117596</v>
      </c>
      <c r="O77" s="44" t="str">
        <f t="shared" si="8"/>
        <v>лампы</v>
      </c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9.25" customHeight="1">
      <c r="A78" s="9" t="s">
        <v>59</v>
      </c>
      <c r="B78" s="10"/>
      <c r="C78" s="10"/>
      <c r="D78" s="10"/>
      <c r="E78" s="10"/>
      <c r="F78" s="10"/>
      <c r="G78" s="10">
        <v>40000</v>
      </c>
      <c r="H78" s="10"/>
      <c r="I78" s="10"/>
      <c r="J78" s="10"/>
      <c r="K78" s="10"/>
      <c r="L78" s="10">
        <f>750.04+760.04+22500</f>
        <v>24010.08</v>
      </c>
      <c r="M78" s="10">
        <f>96643.06+10800</f>
        <v>107443.06</v>
      </c>
      <c r="N78" s="17">
        <f t="shared" si="5"/>
        <v>171453.14</v>
      </c>
      <c r="O78" s="44" t="str">
        <f t="shared" si="8"/>
        <v>моющие и хозтовары</v>
      </c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9.25" customHeight="1">
      <c r="A79" s="9" t="s">
        <v>77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50270</v>
      </c>
      <c r="N79" s="17">
        <f t="shared" si="5"/>
        <v>50270</v>
      </c>
      <c r="O79" s="44" t="str">
        <f t="shared" si="8"/>
        <v>линолеум</v>
      </c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9.25" customHeight="1">
      <c r="A80" s="9" t="s">
        <v>83</v>
      </c>
      <c r="B80" s="10"/>
      <c r="C80" s="10"/>
      <c r="D80" s="10"/>
      <c r="E80" s="10"/>
      <c r="F80" s="10"/>
      <c r="G80" s="10"/>
      <c r="H80" s="10"/>
      <c r="I80" s="10"/>
      <c r="J80" s="10">
        <v>600</v>
      </c>
      <c r="K80" s="10"/>
      <c r="L80" s="10"/>
      <c r="M80" s="10"/>
      <c r="N80" s="17">
        <f t="shared" si="5"/>
        <v>600</v>
      </c>
      <c r="O80" s="44" t="str">
        <f t="shared" si="8"/>
        <v>батарея на трев.сигнал</v>
      </c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9.25" customHeight="1">
      <c r="A81" s="9" t="s">
        <v>93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>
        <v>78500</v>
      </c>
      <c r="N81" s="17">
        <f>B81+C81+D81+E81+F81+G81+H81+I81+J81+K81+L81+M81</f>
        <v>78500</v>
      </c>
      <c r="O81" s="44" t="str">
        <f t="shared" si="8"/>
        <v>жалюзи</v>
      </c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5.25" customHeight="1">
      <c r="A82" s="9" t="s">
        <v>92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>
        <v>21710</v>
      </c>
      <c r="N82" s="17">
        <f>B82+C82+D82+E82+F82+G82+H82+I82+J82+K82+L82+M82</f>
        <v>21710</v>
      </c>
      <c r="O82" s="44" t="str">
        <f t="shared" si="8"/>
        <v>брендирование</v>
      </c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35.25" customHeight="1">
      <c r="A83" s="9" t="s">
        <v>87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>
        <v>52568</v>
      </c>
      <c r="N83" s="17">
        <f>B83+C83+D83+E83+F83+G83+H83+I83+J83+K83+L83+M83</f>
        <v>52568</v>
      </c>
      <c r="O83" s="44" t="str">
        <f t="shared" si="8"/>
        <v>стройматериалы</v>
      </c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7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7">
        <f>B84+C84+D84+E84+F84+G84+H84+I84+J84+K84+L84+M84</f>
        <v>0</v>
      </c>
      <c r="O84" s="44">
        <f t="shared" si="8"/>
        <v>0</v>
      </c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14" customFormat="1" ht="34.5" customHeight="1">
      <c r="A85" s="13" t="s">
        <v>3</v>
      </c>
      <c r="B85" s="12">
        <f aca="true" t="shared" si="9" ref="B85:K85">B4+B7+B9+B10+B17+B38+B60+B68+B74</f>
        <v>182018.81</v>
      </c>
      <c r="C85" s="12">
        <f t="shared" si="9"/>
        <v>515737.94</v>
      </c>
      <c r="D85" s="12">
        <f t="shared" si="9"/>
        <v>452332.76</v>
      </c>
      <c r="E85" s="12">
        <f t="shared" si="9"/>
        <v>486304.09</v>
      </c>
      <c r="F85" s="12">
        <f t="shared" si="9"/>
        <v>361813.03</v>
      </c>
      <c r="G85" s="12">
        <f t="shared" si="9"/>
        <v>417645.75</v>
      </c>
      <c r="H85" s="12">
        <f t="shared" si="9"/>
        <v>349659.94</v>
      </c>
      <c r="I85" s="12">
        <f t="shared" si="9"/>
        <v>110587.67000000001</v>
      </c>
      <c r="J85" s="12">
        <f t="shared" si="9"/>
        <v>244851.37999999998</v>
      </c>
      <c r="K85" s="12">
        <f t="shared" si="9"/>
        <v>266644.64</v>
      </c>
      <c r="L85" s="12">
        <f>L4+L7+L8+L9+L10+L17+L38+L60+L68+L74</f>
        <v>714365.04</v>
      </c>
      <c r="M85" s="12">
        <f>M4+M7+M8+M9+M10+M17+M38+M60+M68+M74</f>
        <v>1248538.95</v>
      </c>
      <c r="N85" s="12">
        <f>N4+N7+N8+N9+N10+N17+N38+N60+N68+N74</f>
        <v>5350500</v>
      </c>
      <c r="O85" s="44" t="str">
        <f t="shared" si="8"/>
        <v>ВСЕГО</v>
      </c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14" customFormat="1" ht="34.5" customHeight="1">
      <c r="A86" s="13" t="s">
        <v>45</v>
      </c>
      <c r="B86" s="12">
        <f>160000+22018.81</f>
        <v>182018.81</v>
      </c>
      <c r="C86" s="12">
        <f>157000+362204.84</f>
        <v>519204.84</v>
      </c>
      <c r="D86" s="12">
        <f>157000+297865.55</f>
        <v>454865.55</v>
      </c>
      <c r="E86" s="12">
        <f>157000+328880.85</f>
        <v>485880.85</v>
      </c>
      <c r="F86" s="12">
        <f>187000+169236.58</f>
        <v>356236.57999999996</v>
      </c>
      <c r="G86" s="12">
        <f>187000+233801.75</f>
        <v>420801.75</v>
      </c>
      <c r="H86" s="12">
        <f>195300+149632.24</f>
        <v>344932.24</v>
      </c>
      <c r="I86" s="12">
        <f>120000+97010.75</f>
        <v>217010.75</v>
      </c>
      <c r="J86" s="12">
        <f>1149.17+140000</f>
        <v>141149.17</v>
      </c>
      <c r="K86" s="12">
        <f>140000+125747.09</f>
        <v>265747.08999999997</v>
      </c>
      <c r="L86" s="12">
        <f>139900+492000</f>
        <v>631900</v>
      </c>
      <c r="M86" s="12">
        <f>154800+1175952.37</f>
        <v>1330752.37</v>
      </c>
      <c r="N86" s="12">
        <f>SUM(B86:M86)</f>
        <v>5350500</v>
      </c>
      <c r="O86" s="44" t="str">
        <f t="shared" si="8"/>
        <v>Финансирование</v>
      </c>
      <c r="P86" s="24" t="e">
        <f>O86-N86</f>
        <v>#VALUE!</v>
      </c>
      <c r="Q86" s="1"/>
      <c r="R86" s="1"/>
      <c r="S86" s="1"/>
      <c r="T86" s="1"/>
      <c r="U86" s="1"/>
      <c r="V86" s="1"/>
      <c r="W86" s="1"/>
      <c r="X86" s="1"/>
      <c r="Y86" s="1"/>
    </row>
    <row r="87" spans="1:25" s="14" customFormat="1" ht="34.5" customHeight="1">
      <c r="A87" s="13" t="s">
        <v>46</v>
      </c>
      <c r="B87" s="12">
        <f>B86-B85</f>
        <v>0</v>
      </c>
      <c r="C87" s="12">
        <f aca="true" t="shared" si="10" ref="C87:M87">B87+C86-C85</f>
        <v>3466.9000000000233</v>
      </c>
      <c r="D87" s="12">
        <f>C87+D86-D85</f>
        <v>5999.690000000002</v>
      </c>
      <c r="E87" s="12">
        <f t="shared" si="10"/>
        <v>5576.449999999953</v>
      </c>
      <c r="F87" s="12">
        <f t="shared" si="10"/>
        <v>0</v>
      </c>
      <c r="G87" s="12">
        <f t="shared" si="10"/>
        <v>3156</v>
      </c>
      <c r="H87" s="12">
        <f t="shared" si="10"/>
        <v>-1571.7000000000116</v>
      </c>
      <c r="I87" s="12">
        <f t="shared" si="10"/>
        <v>104851.37999999998</v>
      </c>
      <c r="J87" s="12">
        <f t="shared" si="10"/>
        <v>1149.1700000000128</v>
      </c>
      <c r="K87" s="12">
        <f t="shared" si="10"/>
        <v>251.61999999999534</v>
      </c>
      <c r="L87" s="12">
        <f t="shared" si="10"/>
        <v>-82213.42000000004</v>
      </c>
      <c r="M87" s="12">
        <f t="shared" si="10"/>
        <v>0</v>
      </c>
      <c r="N87" s="12">
        <f>N86-N85</f>
        <v>0</v>
      </c>
      <c r="O87" s="44" t="str">
        <f t="shared" si="8"/>
        <v>Остаток на л/счете</v>
      </c>
      <c r="P87" s="34"/>
      <c r="Q87" s="1"/>
      <c r="R87" s="1"/>
      <c r="S87" s="1"/>
      <c r="T87" s="1"/>
      <c r="U87" s="1"/>
      <c r="V87" s="1"/>
      <c r="W87" s="1"/>
      <c r="X87" s="1"/>
      <c r="Y87" s="1"/>
    </row>
    <row r="88" spans="1:15" ht="18">
      <c r="A88" s="7" t="s">
        <v>25</v>
      </c>
      <c r="B88" s="3" t="s">
        <v>26</v>
      </c>
      <c r="D88" s="19"/>
      <c r="G88" s="19"/>
      <c r="H88" s="19"/>
      <c r="J88" s="19"/>
      <c r="K88" s="19"/>
      <c r="L88" s="19"/>
      <c r="M88" s="19"/>
      <c r="N88" s="19"/>
      <c r="O88" s="44" t="str">
        <f t="shared" si="8"/>
        <v>Директор школы</v>
      </c>
    </row>
    <row r="89" spans="3:15" ht="18">
      <c r="C89" s="19"/>
      <c r="D89" s="19"/>
      <c r="G89" s="19"/>
      <c r="I89" s="19"/>
      <c r="N89" s="19"/>
      <c r="O89" s="44">
        <f t="shared" si="8"/>
        <v>0</v>
      </c>
    </row>
    <row r="90" spans="1:15" ht="18">
      <c r="A90" s="7" t="s">
        <v>27</v>
      </c>
      <c r="B90" s="3" t="s">
        <v>28</v>
      </c>
      <c r="G90" s="19"/>
      <c r="H90" s="19"/>
      <c r="I90" s="19"/>
      <c r="J90" s="19"/>
      <c r="K90" s="19"/>
      <c r="L90" s="19"/>
      <c r="M90" s="19"/>
      <c r="O90" s="44" t="str">
        <f t="shared" si="8"/>
        <v>Главный  бухгалтер</v>
      </c>
    </row>
    <row r="91" spans="7:15" ht="18">
      <c r="G91" s="3">
        <f>45563.6+120000</f>
        <v>165563.6</v>
      </c>
      <c r="L91" s="47">
        <f>201772.62+K87-L85</f>
        <v>-512340.80000000005</v>
      </c>
      <c r="O91" s="44">
        <f t="shared" si="8"/>
        <v>0</v>
      </c>
    </row>
    <row r="92" spans="7:15" ht="18">
      <c r="G92" s="3">
        <f>G87-G91</f>
        <v>-162407.6</v>
      </c>
      <c r="H92" s="3">
        <f>6048+72000</f>
        <v>78048</v>
      </c>
      <c r="M92" s="19"/>
      <c r="N92" s="19">
        <f>7626.74+75000</f>
        <v>82626.74</v>
      </c>
      <c r="O92" s="44">
        <f t="shared" si="8"/>
        <v>0</v>
      </c>
    </row>
    <row r="93" spans="13:14" ht="18">
      <c r="M93" s="19"/>
      <c r="N93" s="19"/>
    </row>
    <row r="94" spans="12:14" ht="18">
      <c r="L94" s="3">
        <f>15161.58</f>
        <v>15161.58</v>
      </c>
      <c r="M94" s="19"/>
      <c r="N94" s="19"/>
    </row>
    <row r="95" spans="12:14" ht="18">
      <c r="L95" s="3">
        <f>L94-L87</f>
        <v>97375.00000000004</v>
      </c>
      <c r="M95" s="19"/>
      <c r="N95" s="19"/>
    </row>
    <row r="96" spans="13:16" ht="18">
      <c r="M96" s="19"/>
      <c r="N96" s="19"/>
      <c r="P96" s="25"/>
    </row>
    <row r="98" ht="18">
      <c r="C98" s="3">
        <f>B86+C86+D86-B85-C85-D85</f>
        <v>5999.689999999886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2022-10-03T06:51:57Z</cp:lastPrinted>
  <dcterms:created xsi:type="dcterms:W3CDTF">1996-10-08T23:32:33Z</dcterms:created>
  <dcterms:modified xsi:type="dcterms:W3CDTF">2023-03-29T07:27:14Z</dcterms:modified>
  <cp:category/>
  <cp:version/>
  <cp:contentType/>
  <cp:contentStatus/>
</cp:coreProperties>
</file>