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'!$A$1:$N$49</definedName>
  </definedNames>
  <calcPr fullCalcOnLoad="1"/>
</workbook>
</file>

<file path=xl/sharedStrings.xml><?xml version="1.0" encoding="utf-8"?>
<sst xmlns="http://schemas.openxmlformats.org/spreadsheetml/2006/main" count="93" uniqueCount="61">
  <si>
    <t>225 в.т.ч.</t>
  </si>
  <si>
    <t>226 в т.ч.</t>
  </si>
  <si>
    <t>340 в т.ч.</t>
  </si>
  <si>
    <t>ВСЕГО</t>
  </si>
  <si>
    <t xml:space="preserve">310 в т.ч. </t>
  </si>
  <si>
    <t>212 в т.ч.</t>
  </si>
  <si>
    <t>учебники</t>
  </si>
  <si>
    <t>канцел.товары</t>
  </si>
  <si>
    <t>211 в т.ч.</t>
  </si>
  <si>
    <t>итого</t>
  </si>
  <si>
    <t>зправка картриджей</t>
  </si>
  <si>
    <t>услуги парус</t>
  </si>
  <si>
    <t>МБОУ Ясиновская СОШ</t>
  </si>
  <si>
    <t>январь</t>
  </si>
  <si>
    <t>Директор школы</t>
  </si>
  <si>
    <t>О.Н.Максимова</t>
  </si>
  <si>
    <t>Главный  бухгалтер</t>
  </si>
  <si>
    <t>Н.А.Замула</t>
  </si>
  <si>
    <t>февраль</t>
  </si>
  <si>
    <t>сдача отчетности пенс.и налог.с ЭЦП Контур</t>
  </si>
  <si>
    <t>март</t>
  </si>
  <si>
    <t>апрель</t>
  </si>
  <si>
    <t>май</t>
  </si>
  <si>
    <t>июнь</t>
  </si>
  <si>
    <t>лицензионное программное обеспечение(Парус)</t>
  </si>
  <si>
    <t>хоз.товары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</si>
  <si>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</si>
  <si>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</si>
  <si>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</si>
  <si>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</si>
  <si>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</si>
  <si>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</si>
  <si>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лицензионное программное обеспечение </t>
  </si>
  <si>
    <t>ФИНАНСИРОВАНИЕ</t>
  </si>
  <si>
    <t>Остаток на счете</t>
  </si>
  <si>
    <t>обучение педработников (курсы повыш.квалификации)</t>
  </si>
  <si>
    <t>ремонт огр.техники</t>
  </si>
  <si>
    <t>раб.тетради</t>
  </si>
  <si>
    <t>м/осмотр педработников</t>
  </si>
  <si>
    <t>интерактивная доска</t>
  </si>
  <si>
    <t>комплектующие на компьютер</t>
  </si>
  <si>
    <t>эл.школа+випнет</t>
  </si>
  <si>
    <t>МФУ</t>
  </si>
  <si>
    <t>спортоборудование и инвентарь</t>
  </si>
  <si>
    <t>з/плата гарантированная</t>
  </si>
  <si>
    <t>надбавки педработникам</t>
  </si>
  <si>
    <t>премии</t>
  </si>
  <si>
    <t>повышающий коэффициент</t>
  </si>
  <si>
    <t>командировочные расходы (суточные,проезд.проживание)</t>
  </si>
  <si>
    <t>Парус-онлайн</t>
  </si>
  <si>
    <t>АИС-Контингент</t>
  </si>
  <si>
    <t>АРМ по ЕГЭ</t>
  </si>
  <si>
    <t>надбавки за качество и результативность</t>
  </si>
  <si>
    <t>Информация о расходовании средств областного бюджета (субвенции) за январь-декабрь  2017 год</t>
  </si>
  <si>
    <t>мебель</t>
  </si>
  <si>
    <t>учебные пособия</t>
  </si>
  <si>
    <t>муз.центр</t>
  </si>
  <si>
    <t>оргтехника</t>
  </si>
  <si>
    <t>картриджи</t>
  </si>
  <si>
    <t>ноутбуки</t>
  </si>
  <si>
    <t>шв.машинки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</si>
</sst>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horizontal="left" wrapText="1"/>
    </xf>
    <xf numFmtId="184" fontId="5" fillId="4" borderId="11" xfId="0" applyNumberFormat="1" applyFont="1" applyFill="1" applyBorder="1" applyAlignment="1">
      <alignment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4" fontId="5" fillId="4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/>
    </xf>
    <xf numFmtId="184" fontId="5" fillId="4" borderId="0" xfId="0" applyNumberFormat="1" applyFont="1" applyFill="1" applyBorder="1" applyAlignment="1">
      <alignment/>
    </xf>
    <xf numFmtId="183" fontId="7" fillId="4" borderId="11" xfId="0" applyNumberFormat="1" applyFont="1" applyFill="1" applyBorder="1" applyAlignment="1">
      <alignment wrapText="1"/>
    </xf>
    <xf numFmtId="180" fontId="6" fillId="0" borderId="0" xfId="0" applyNumberFormat="1" applyFont="1" applyFill="1" applyBorder="1" applyAlignment="1">
      <alignment horizontal="center" wrapText="1"/>
    </xf>
    <xf numFmtId="184" fontId="5" fillId="0" borderId="11" xfId="0" applyNumberFormat="1" applyFont="1" applyFill="1" applyBorder="1" applyAlignment="1">
      <alignment wrapText="1"/>
    </xf>
    <xf numFmtId="180" fontId="5" fillId="0" borderId="12" xfId="0" applyNumberFormat="1" applyFont="1" applyFill="1" applyBorder="1" applyAlignment="1">
      <alignment horizontal="center" wrapText="1"/>
    </xf>
    <xf numFmtId="184" fontId="5" fillId="0" borderId="13" xfId="0" applyNumberFormat="1" applyFont="1" applyFill="1" applyBorder="1" applyAlignment="1">
      <alignment wrapText="1"/>
    </xf>
    <xf numFmtId="180" fontId="5" fillId="0" borderId="14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="75" zoomScaleNormal="50" zoomScaleSheetLayoutView="75" zoomScalePageLayoutView="0" workbookViewId="0" topLeftCell="I1">
      <selection activeCell="M9" sqref="M9"/>
    </sheetView>
  </sheetViews>
  <sheetFormatPr defaultColWidth="9.140625" defaultRowHeight="12.75"/>
  <cols>
    <col min="1" max="1" width="78.421875" style="7" customWidth="1"/>
    <col min="2" max="2" width="25.140625" style="3" customWidth="1"/>
    <col min="3" max="3" width="19.7109375" style="3" customWidth="1"/>
    <col min="4" max="4" width="18.140625" style="3" customWidth="1"/>
    <col min="5" max="5" width="20.00390625" style="3" customWidth="1"/>
    <col min="6" max="6" width="20.57421875" style="3" customWidth="1"/>
    <col min="7" max="7" width="19.7109375" style="3" customWidth="1"/>
    <col min="8" max="8" width="18.140625" style="3" customWidth="1"/>
    <col min="9" max="9" width="20.140625" style="3" customWidth="1"/>
    <col min="10" max="10" width="19.00390625" style="3" customWidth="1"/>
    <col min="11" max="11" width="19.421875" style="3" customWidth="1"/>
    <col min="12" max="12" width="21.57421875" style="3" customWidth="1"/>
    <col min="13" max="13" width="22.28125" style="3" customWidth="1"/>
    <col min="14" max="14" width="22.7109375" style="3" customWidth="1"/>
    <col min="15" max="15" width="68.7109375" style="2" customWidth="1"/>
    <col min="16" max="16" width="15.421875" style="2" customWidth="1"/>
    <col min="17" max="17" width="10.140625" style="2" customWidth="1"/>
    <col min="18" max="16384" width="9.140625" style="2" customWidth="1"/>
  </cols>
  <sheetData>
    <row r="1" spans="1:14" ht="54.75" customHeight="1">
      <c r="A1" s="28" t="s">
        <v>53</v>
      </c>
      <c r="B1" s="2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1.75" customHeight="1">
      <c r="A2" s="26" t="s">
        <v>12</v>
      </c>
      <c r="B2" s="2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customHeight="1">
      <c r="A3" s="21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25" s="4" customFormat="1" ht="31.5" customHeight="1">
      <c r="A4" s="9"/>
      <c r="B4" s="23" t="s">
        <v>13</v>
      </c>
      <c r="C4" s="23" t="s">
        <v>18</v>
      </c>
      <c r="D4" s="23" t="s">
        <v>20</v>
      </c>
      <c r="E4" s="23" t="s">
        <v>21</v>
      </c>
      <c r="F4" s="23" t="s">
        <v>22</v>
      </c>
      <c r="G4" s="23" t="s">
        <v>23</v>
      </c>
      <c r="H4" s="23" t="s">
        <v>26</v>
      </c>
      <c r="I4" s="23" t="s">
        <v>27</v>
      </c>
      <c r="J4" s="23" t="s">
        <v>28</v>
      </c>
      <c r="K4" s="23" t="s">
        <v>29</v>
      </c>
      <c r="L4" s="23" t="s">
        <v>30</v>
      </c>
      <c r="M4" s="23" t="s">
        <v>31</v>
      </c>
      <c r="N4" s="25" t="s">
        <v>9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15" customFormat="1" ht="24" customHeight="1">
      <c r="A5" s="12" t="s">
        <v>8</v>
      </c>
      <c r="B5" s="16">
        <f>B6+B7+B8+B10</f>
        <v>400000</v>
      </c>
      <c r="C5" s="16">
        <f aca="true" t="shared" si="0" ref="C5:M5">C6+C7+C8+C10</f>
        <v>640928.9199999999</v>
      </c>
      <c r="D5" s="16">
        <f>D6+D7+D8+D10</f>
        <v>592140.7</v>
      </c>
      <c r="E5" s="16">
        <f t="shared" si="0"/>
        <v>406356.56</v>
      </c>
      <c r="F5" s="16">
        <f t="shared" si="0"/>
        <v>798409.0700000001</v>
      </c>
      <c r="G5" s="16">
        <f t="shared" si="0"/>
        <v>1297266.15</v>
      </c>
      <c r="H5" s="16">
        <f t="shared" si="0"/>
        <v>201082.53999999998</v>
      </c>
      <c r="I5" s="16">
        <f t="shared" si="0"/>
        <v>276374.32</v>
      </c>
      <c r="J5" s="16">
        <f t="shared" si="0"/>
        <v>391408.13</v>
      </c>
      <c r="K5" s="16">
        <f t="shared" si="0"/>
        <v>562683.37</v>
      </c>
      <c r="L5" s="16">
        <f t="shared" si="0"/>
        <v>535388.9199999999</v>
      </c>
      <c r="M5" s="16">
        <f t="shared" si="0"/>
        <v>910842.92</v>
      </c>
      <c r="N5" s="16">
        <f aca="true" t="shared" si="1" ref="N5:N11">B5+C5+D5+E5+F5+G5+H5+I5+J5+K5+L5+M5</f>
        <v>7012881.6</v>
      </c>
      <c r="O5" s="12" t="s">
        <v>8</v>
      </c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15" customFormat="1" ht="24" customHeight="1">
      <c r="A6" s="10" t="s">
        <v>44</v>
      </c>
      <c r="B6" s="22">
        <f>154500+245500</f>
        <v>400000</v>
      </c>
      <c r="C6" s="22">
        <f>217872.93+55942.68+296580.31-C8+70533</f>
        <v>635702.9199999999</v>
      </c>
      <c r="D6" s="22">
        <f>319584.8+71600+200955.9-D8</f>
        <v>586914.7</v>
      </c>
      <c r="E6" s="22">
        <f>153504.75+70924+20000+161927.81-E8</f>
        <v>401130.56</v>
      </c>
      <c r="F6" s="22">
        <f>76925+48500+255316.83+87960.01+64430.69-F8+265276.54</f>
        <v>793183.0700000001</v>
      </c>
      <c r="G6" s="22">
        <f>518116.93+60000+104179+100000+18715.83+359186.66+137067.73-G8</f>
        <v>1292040.15</v>
      </c>
      <c r="H6" s="22">
        <f>(6240.28+54929.52+53669.59+63243.15+23000)-H8</f>
        <v>190630.53999999998</v>
      </c>
      <c r="I6" s="22">
        <f>3874.32+100000+106000+66500-I8</f>
        <v>273420.49</v>
      </c>
      <c r="J6" s="22">
        <f>(6751.42+109228.28+258500+16928.43)-J8</f>
        <v>374423.63</v>
      </c>
      <c r="K6" s="22">
        <f>(2423.72+2313.09+3213.04+40000+369117.74-132+43126.03+102621.75)-K8</f>
        <v>549558.9836363636</v>
      </c>
      <c r="L6" s="22">
        <f>(4916.74+91825.32+5000+30000+3151.37+4803.03+132692.46+263000)-L8-L9</f>
        <v>519150.98999999993</v>
      </c>
      <c r="M6" s="22">
        <f>(50000+4000+3179+4012.15+77754+2298.57+1632.29+638256.44+15948.59+5838.27+108723.61-800)-M7-M8-M9-M10</f>
        <v>675006.93</v>
      </c>
      <c r="N6" s="22">
        <f t="shared" si="1"/>
        <v>6691162.963636363</v>
      </c>
      <c r="O6" s="10" t="s">
        <v>44</v>
      </c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15" customFormat="1" ht="24" customHeight="1">
      <c r="A7" s="10" t="s">
        <v>45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>
        <f>74620.19</f>
        <v>74620.19</v>
      </c>
      <c r="N7" s="22">
        <f t="shared" si="1"/>
        <v>74620.19</v>
      </c>
      <c r="O7" s="10" t="s">
        <v>45</v>
      </c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15" customFormat="1" ht="24" customHeight="1">
      <c r="A8" s="10" t="s">
        <v>47</v>
      </c>
      <c r="B8" s="22"/>
      <c r="C8" s="22">
        <f>5226</f>
        <v>5226</v>
      </c>
      <c r="D8" s="22">
        <v>5226</v>
      </c>
      <c r="E8" s="22">
        <v>5226</v>
      </c>
      <c r="F8" s="22">
        <f>5226</f>
        <v>5226</v>
      </c>
      <c r="G8" s="22">
        <v>5226</v>
      </c>
      <c r="H8" s="22">
        <f>5226*2</f>
        <v>10452</v>
      </c>
      <c r="I8" s="22">
        <v>2953.83</v>
      </c>
      <c r="J8" s="22">
        <v>16984.5</v>
      </c>
      <c r="K8" s="22">
        <f>16984.5/22*17</f>
        <v>13124.386363636364</v>
      </c>
      <c r="L8" s="22">
        <f>16984.5-746.57</f>
        <v>16237.93</v>
      </c>
      <c r="M8" s="22">
        <v>29265.6</v>
      </c>
      <c r="N8" s="22">
        <f t="shared" si="1"/>
        <v>115148.24636363637</v>
      </c>
      <c r="O8" s="10" t="s">
        <v>47</v>
      </c>
      <c r="P8" s="1">
        <f>5226*4+3396.9+5226*2+2953.83+16984.5+3527.55+13124.39+3527.55+16237.93+2643.03+16984.5+4412.07</f>
        <v>115148.25000000003</v>
      </c>
      <c r="Q8" s="1">
        <f>P8-85882.65</f>
        <v>29265.600000000035</v>
      </c>
      <c r="R8" s="1"/>
      <c r="S8" s="1"/>
      <c r="T8" s="1"/>
      <c r="U8" s="1"/>
      <c r="V8" s="1"/>
      <c r="W8" s="1"/>
      <c r="X8" s="1"/>
      <c r="Y8" s="1"/>
    </row>
    <row r="9" spans="1:25" s="15" customFormat="1" ht="24" customHeight="1">
      <c r="A9" s="10" t="s">
        <v>52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f t="shared" si="1"/>
        <v>0</v>
      </c>
      <c r="O9" s="10" t="s">
        <v>52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15" customFormat="1" ht="24" customHeight="1">
      <c r="A10" s="10" t="s">
        <v>46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>
        <f>169075.3-12573-24552.1</f>
        <v>131950.19999999998</v>
      </c>
      <c r="N10" s="22">
        <f t="shared" si="1"/>
        <v>131950.19999999998</v>
      </c>
      <c r="O10" s="10" t="s">
        <v>46</v>
      </c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15" customFormat="1" ht="31.5" customHeight="1">
      <c r="A11" s="12" t="s">
        <v>5</v>
      </c>
      <c r="B11" s="13">
        <f aca="true" t="shared" si="2" ref="B11:I11">B12+B13</f>
        <v>0</v>
      </c>
      <c r="C11" s="13">
        <f t="shared" si="2"/>
        <v>0</v>
      </c>
      <c r="D11" s="13">
        <f>D12</f>
        <v>0</v>
      </c>
      <c r="E11" s="13">
        <f t="shared" si="2"/>
        <v>0</v>
      </c>
      <c r="F11" s="13">
        <f t="shared" si="2"/>
        <v>1795.5</v>
      </c>
      <c r="G11" s="13">
        <f t="shared" si="2"/>
        <v>660</v>
      </c>
      <c r="H11" s="13">
        <f t="shared" si="2"/>
        <v>0</v>
      </c>
      <c r="I11" s="13">
        <f t="shared" si="2"/>
        <v>0</v>
      </c>
      <c r="J11" s="13">
        <f>J12+J13</f>
        <v>5400</v>
      </c>
      <c r="K11" s="13">
        <f>K12+K13</f>
        <v>132</v>
      </c>
      <c r="L11" s="13">
        <f>L12+L13</f>
        <v>815.5</v>
      </c>
      <c r="M11" s="13">
        <f>M12+M13</f>
        <v>0</v>
      </c>
      <c r="N11" s="16">
        <f t="shared" si="1"/>
        <v>8803</v>
      </c>
      <c r="O11" s="12" t="s">
        <v>5</v>
      </c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3.5" customHeight="1">
      <c r="A12" s="10" t="s">
        <v>48</v>
      </c>
      <c r="B12" s="11"/>
      <c r="C12" s="11"/>
      <c r="D12" s="11"/>
      <c r="E12" s="11"/>
      <c r="F12" s="11">
        <f>1795.5</f>
        <v>1795.5</v>
      </c>
      <c r="G12" s="11">
        <v>660</v>
      </c>
      <c r="H12" s="11"/>
      <c r="I12" s="11"/>
      <c r="J12" s="11">
        <v>5400</v>
      </c>
      <c r="K12" s="11">
        <v>132</v>
      </c>
      <c r="L12" s="11">
        <v>815.5</v>
      </c>
      <c r="M12" s="11"/>
      <c r="N12" s="16">
        <f aca="true" t="shared" si="3" ref="N12:N45">B12+C12+D12+E12+F12+G12+H12+I12+J12+K12+L12+M12</f>
        <v>8803</v>
      </c>
      <c r="O12" s="10" t="s">
        <v>48</v>
      </c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8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6">
        <f t="shared" si="3"/>
        <v>0</v>
      </c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15" customFormat="1" ht="18">
      <c r="A14" s="12">
        <v>213</v>
      </c>
      <c r="B14" s="13"/>
      <c r="C14" s="13">
        <f>1112.57+16132.28+28370.57+122382.87</f>
        <v>167998.28999999998</v>
      </c>
      <c r="D14" s="22">
        <f>1114.94+16166.57+28430.85+122642.89</f>
        <v>168355.25</v>
      </c>
      <c r="E14" s="13">
        <f>1110.67+16104.75+28322.16+122174.01+16000+25000+23511.16</f>
        <v>232222.75</v>
      </c>
      <c r="F14" s="13">
        <f>105+1025+3180+98030</f>
        <v>102340</v>
      </c>
      <c r="G14" s="13">
        <f>1650+23700+41700+180000+2134.17+31200+55000+237000</f>
        <v>572384.17</v>
      </c>
      <c r="H14" s="13">
        <f>400+5200+9200+5000+54079.25+1.02</f>
        <v>73880.27</v>
      </c>
      <c r="I14" s="13">
        <f>1100+9100+15100+88341.82-8500</f>
        <v>105141.82</v>
      </c>
      <c r="J14" s="13">
        <f>500+15500+28000+87850.97</f>
        <v>131850.97</v>
      </c>
      <c r="K14" s="13">
        <f>98.87+601.35+1014.64+3270.21+1000+32000+90000+8274.67</f>
        <v>136259.74000000002</v>
      </c>
      <c r="L14" s="13">
        <f>150+15000+30000+16000+25000+20000+122.25+0.89+640.89+7297.65+927.44+215+141869.49</f>
        <v>257223.61</v>
      </c>
      <c r="M14" s="13">
        <f>200+3000+6000+1285.18+17709.89+31696.73+116327.05</f>
        <v>176218.85</v>
      </c>
      <c r="N14" s="16">
        <f t="shared" si="3"/>
        <v>2123875.72</v>
      </c>
      <c r="O14" s="12">
        <v>213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s="15" customFormat="1" ht="18">
      <c r="A15" s="12">
        <v>221</v>
      </c>
      <c r="B15" s="13"/>
      <c r="C15" s="13">
        <f>2990+1090.32</f>
        <v>4080.3199999999997</v>
      </c>
      <c r="D15" s="13">
        <f>2990+1052.56</f>
        <v>4042.56</v>
      </c>
      <c r="E15" s="13">
        <f>2990+1229.56</f>
        <v>4219.5599999999995</v>
      </c>
      <c r="F15" s="13">
        <f>1163.48+2990</f>
        <v>4153.48</v>
      </c>
      <c r="G15" s="13">
        <f>2990+1085.6</f>
        <v>4075.6</v>
      </c>
      <c r="H15" s="13">
        <f>2990+1115.1</f>
        <v>4105.1</v>
      </c>
      <c r="I15" s="13">
        <f>236+1189.44+2058.42</f>
        <v>3483.86</v>
      </c>
      <c r="J15" s="13">
        <f>236+986.48</f>
        <v>1222.48</v>
      </c>
      <c r="K15" s="13">
        <f>2990+650.44+9.45</f>
        <v>3649.89</v>
      </c>
      <c r="L15" s="13">
        <f>1028.96+2990</f>
        <v>4018.96</v>
      </c>
      <c r="M15" s="13">
        <f>2990+1026.6+18.17+2990+1000</f>
        <v>8024.77</v>
      </c>
      <c r="N15" s="16">
        <f t="shared" si="3"/>
        <v>45076.58</v>
      </c>
      <c r="O15" s="12">
        <v>221</v>
      </c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5" customFormat="1" ht="27" customHeight="1">
      <c r="A16" s="14" t="s">
        <v>0</v>
      </c>
      <c r="B16" s="13">
        <f aca="true" t="shared" si="4" ref="B16:M16">B17+B18</f>
        <v>0</v>
      </c>
      <c r="C16" s="13">
        <f t="shared" si="4"/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  <c r="H16" s="13">
        <f t="shared" si="4"/>
        <v>15000</v>
      </c>
      <c r="I16" s="13">
        <f t="shared" si="4"/>
        <v>0</v>
      </c>
      <c r="J16" s="13">
        <f t="shared" si="4"/>
        <v>0</v>
      </c>
      <c r="K16" s="13">
        <f t="shared" si="4"/>
        <v>0</v>
      </c>
      <c r="L16" s="13">
        <f t="shared" si="4"/>
        <v>0</v>
      </c>
      <c r="M16" s="13">
        <f t="shared" si="4"/>
        <v>15000</v>
      </c>
      <c r="N16" s="16">
        <f t="shared" si="3"/>
        <v>30000</v>
      </c>
      <c r="O16" s="14" t="s">
        <v>0</v>
      </c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5.5" customHeight="1">
      <c r="A17" s="10" t="s">
        <v>10</v>
      </c>
      <c r="B17" s="11"/>
      <c r="C17" s="11"/>
      <c r="D17" s="11"/>
      <c r="E17" s="11"/>
      <c r="F17" s="11"/>
      <c r="G17" s="11"/>
      <c r="H17" s="11">
        <v>15000</v>
      </c>
      <c r="I17" s="11"/>
      <c r="J17" s="11"/>
      <c r="K17" s="11"/>
      <c r="L17" s="11"/>
      <c r="M17" s="11">
        <v>15000</v>
      </c>
      <c r="N17" s="16">
        <f t="shared" si="3"/>
        <v>30000</v>
      </c>
      <c r="O17" s="10" t="s">
        <v>10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4" customHeight="1">
      <c r="A18" s="10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6">
        <f t="shared" si="3"/>
        <v>0</v>
      </c>
      <c r="O18" s="10" t="s">
        <v>36</v>
      </c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15" customFormat="1" ht="31.5" customHeight="1">
      <c r="A19" s="14" t="s">
        <v>1</v>
      </c>
      <c r="B19" s="13">
        <f>B20+B21+B22+B24+B25+B26+B27+B28+B29</f>
        <v>0</v>
      </c>
      <c r="C19" s="13">
        <f aca="true" t="shared" si="5" ref="C19:M19">C20+C21+C22+C24+C25+C26+C27+C28+C29</f>
        <v>17950</v>
      </c>
      <c r="D19" s="13">
        <f t="shared" si="5"/>
        <v>88232.9</v>
      </c>
      <c r="E19" s="13">
        <f t="shared" si="5"/>
        <v>0</v>
      </c>
      <c r="F19" s="13">
        <f t="shared" si="5"/>
        <v>500</v>
      </c>
      <c r="G19" s="13">
        <f>G20+G21+G22+G24+G25+G26+G27+G28+G29+G23</f>
        <v>59922.84</v>
      </c>
      <c r="H19" s="13">
        <f t="shared" si="5"/>
        <v>24408</v>
      </c>
      <c r="I19" s="13">
        <f t="shared" si="5"/>
        <v>0</v>
      </c>
      <c r="J19" s="13">
        <f t="shared" si="5"/>
        <v>2058.42</v>
      </c>
      <c r="K19" s="13">
        <f t="shared" si="5"/>
        <v>12275</v>
      </c>
      <c r="L19" s="13">
        <f t="shared" si="5"/>
        <v>15450.26</v>
      </c>
      <c r="M19" s="13">
        <f t="shared" si="5"/>
        <v>30706.84</v>
      </c>
      <c r="N19" s="16">
        <f t="shared" si="3"/>
        <v>251504.26</v>
      </c>
      <c r="O19" s="14" t="s"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6" customFormat="1" ht="25.5" customHeight="1">
      <c r="A20" s="10" t="s">
        <v>24</v>
      </c>
      <c r="B20" s="11"/>
      <c r="C20" s="11"/>
      <c r="D20" s="11">
        <f>25500</f>
        <v>25500</v>
      </c>
      <c r="E20" s="11"/>
      <c r="F20" s="11"/>
      <c r="G20" s="11"/>
      <c r="H20" s="11"/>
      <c r="I20" s="11"/>
      <c r="J20" s="11"/>
      <c r="K20" s="11"/>
      <c r="L20" s="11"/>
      <c r="M20" s="11"/>
      <c r="N20" s="16">
        <f t="shared" si="3"/>
        <v>25500</v>
      </c>
      <c r="O20" s="10" t="s">
        <v>24</v>
      </c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6" customFormat="1" ht="22.5" customHeight="1">
      <c r="A21" s="10" t="s">
        <v>11</v>
      </c>
      <c r="B21" s="11"/>
      <c r="C21" s="11">
        <v>14950</v>
      </c>
      <c r="D21" s="11">
        <f>4025</f>
        <v>4025</v>
      </c>
      <c r="E21" s="11"/>
      <c r="F21" s="11"/>
      <c r="G21" s="11">
        <v>2300</v>
      </c>
      <c r="H21" s="11"/>
      <c r="I21" s="11"/>
      <c r="J21" s="11"/>
      <c r="K21" s="11">
        <f>3450+1150+2875</f>
        <v>7475</v>
      </c>
      <c r="L21" s="11"/>
      <c r="M21" s="11">
        <f>15000+2300</f>
        <v>17300</v>
      </c>
      <c r="N21" s="16">
        <f t="shared" si="3"/>
        <v>46050</v>
      </c>
      <c r="O21" s="10" t="s">
        <v>11</v>
      </c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6" customFormat="1" ht="22.5" customHeight="1">
      <c r="A22" s="10" t="s">
        <v>50</v>
      </c>
      <c r="B22" s="11"/>
      <c r="C22" s="11"/>
      <c r="D22" s="11">
        <v>52347.9</v>
      </c>
      <c r="E22" s="11"/>
      <c r="F22" s="11"/>
      <c r="G22" s="11"/>
      <c r="H22" s="11"/>
      <c r="I22" s="11"/>
      <c r="J22" s="11"/>
      <c r="K22" s="11"/>
      <c r="L22" s="11"/>
      <c r="M22" s="11"/>
      <c r="N22" s="16">
        <f t="shared" si="3"/>
        <v>52347.9</v>
      </c>
      <c r="O22" s="10" t="s">
        <v>50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6" customFormat="1" ht="22.5" customHeight="1">
      <c r="A23" s="10" t="s">
        <v>51</v>
      </c>
      <c r="B23" s="11"/>
      <c r="C23" s="11"/>
      <c r="D23" s="11"/>
      <c r="E23" s="11"/>
      <c r="F23" s="11"/>
      <c r="G23" s="11">
        <v>53506</v>
      </c>
      <c r="H23" s="11"/>
      <c r="I23" s="11"/>
      <c r="J23" s="11"/>
      <c r="K23" s="11"/>
      <c r="L23" s="11"/>
      <c r="M23" s="11"/>
      <c r="N23" s="16"/>
      <c r="O23" s="10" t="s">
        <v>51</v>
      </c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6" customFormat="1" ht="28.5" customHeight="1">
      <c r="A24" s="10" t="s">
        <v>41</v>
      </c>
      <c r="B24" s="11"/>
      <c r="C24" s="11"/>
      <c r="D24" s="11"/>
      <c r="E24" s="11"/>
      <c r="F24" s="11"/>
      <c r="G24" s="11">
        <f>2058.42*2</f>
        <v>4116.84</v>
      </c>
      <c r="H24" s="11"/>
      <c r="I24" s="11"/>
      <c r="J24" s="11">
        <f>2058.42</f>
        <v>2058.42</v>
      </c>
      <c r="K24" s="11"/>
      <c r="L24" s="11">
        <f>2058.42*3</f>
        <v>6175.26</v>
      </c>
      <c r="M24" s="11">
        <f>2058.42*2</f>
        <v>4116.84</v>
      </c>
      <c r="N24" s="16">
        <f t="shared" si="3"/>
        <v>16467.36</v>
      </c>
      <c r="O24" s="10" t="s">
        <v>41</v>
      </c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6" customFormat="1" ht="30" customHeight="1">
      <c r="A25" s="10" t="s">
        <v>32</v>
      </c>
      <c r="B25" s="11"/>
      <c r="C25" s="11"/>
      <c r="D25" s="11"/>
      <c r="E25" s="11"/>
      <c r="F25" s="11"/>
      <c r="G25" s="11"/>
      <c r="H25" s="11"/>
      <c r="I25" s="11"/>
      <c r="J25" s="11"/>
      <c r="K25" s="11">
        <v>4800</v>
      </c>
      <c r="L25" s="11">
        <v>9275</v>
      </c>
      <c r="M25" s="11"/>
      <c r="N25" s="16">
        <f t="shared" si="3"/>
        <v>14075</v>
      </c>
      <c r="O25" s="10" t="s">
        <v>32</v>
      </c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6" customFormat="1" ht="30" customHeight="1">
      <c r="A26" s="10" t="s">
        <v>38</v>
      </c>
      <c r="B26" s="11"/>
      <c r="C26" s="11"/>
      <c r="D26" s="11"/>
      <c r="E26" s="11"/>
      <c r="F26" s="11"/>
      <c r="G26" s="11"/>
      <c r="H26" s="11">
        <v>24408</v>
      </c>
      <c r="I26" s="11"/>
      <c r="J26" s="11"/>
      <c r="K26" s="11"/>
      <c r="L26" s="11"/>
      <c r="M26" s="11"/>
      <c r="N26" s="16">
        <f t="shared" si="3"/>
        <v>24408</v>
      </c>
      <c r="O26" s="10" t="s">
        <v>38</v>
      </c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6" customFormat="1" ht="19.5" customHeight="1">
      <c r="A27" s="10" t="s">
        <v>35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6">
        <f t="shared" si="3"/>
        <v>0</v>
      </c>
      <c r="O27" s="10" t="s">
        <v>35</v>
      </c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s="6" customFormat="1" ht="19.5" customHeight="1">
      <c r="A28" s="10" t="s">
        <v>49</v>
      </c>
      <c r="B28" s="11"/>
      <c r="C28" s="11">
        <v>3000</v>
      </c>
      <c r="D28" s="11"/>
      <c r="E28" s="11"/>
      <c r="F28" s="11"/>
      <c r="G28" s="11"/>
      <c r="H28" s="11"/>
      <c r="I28" s="11"/>
      <c r="J28" s="11"/>
      <c r="K28" s="11"/>
      <c r="L28" s="11"/>
      <c r="M28" s="11">
        <f>3000+6290</f>
        <v>9290</v>
      </c>
      <c r="N28" s="16">
        <f t="shared" si="3"/>
        <v>12290</v>
      </c>
      <c r="O28" s="10" t="s">
        <v>49</v>
      </c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s="6" customFormat="1" ht="30" customHeight="1">
      <c r="A29" s="10" t="s">
        <v>19</v>
      </c>
      <c r="B29" s="11"/>
      <c r="C29" s="11"/>
      <c r="D29" s="11">
        <f>6360</f>
        <v>6360</v>
      </c>
      <c r="E29" s="11"/>
      <c r="F29" s="11">
        <v>500</v>
      </c>
      <c r="G29" s="11"/>
      <c r="H29" s="11"/>
      <c r="I29" s="11"/>
      <c r="J29" s="11"/>
      <c r="K29" s="11"/>
      <c r="L29" s="11"/>
      <c r="M29" s="11"/>
      <c r="N29" s="16">
        <f t="shared" si="3"/>
        <v>6860</v>
      </c>
      <c r="O29" s="10" t="s">
        <v>19</v>
      </c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s="15" customFormat="1" ht="30" customHeight="1">
      <c r="A30" s="12" t="s">
        <v>4</v>
      </c>
      <c r="B30" s="13">
        <f aca="true" t="shared" si="6" ref="B30:K30">B31+B37</f>
        <v>0</v>
      </c>
      <c r="C30" s="13">
        <f>C31+C35+C37</f>
        <v>0</v>
      </c>
      <c r="D30" s="13">
        <f t="shared" si="6"/>
        <v>0</v>
      </c>
      <c r="E30" s="13">
        <f t="shared" si="6"/>
        <v>0</v>
      </c>
      <c r="F30" s="13">
        <f t="shared" si="6"/>
        <v>0</v>
      </c>
      <c r="G30" s="13">
        <f t="shared" si="6"/>
        <v>0</v>
      </c>
      <c r="H30" s="13">
        <f t="shared" si="6"/>
        <v>76439.2</v>
      </c>
      <c r="I30" s="13">
        <f t="shared" si="6"/>
        <v>0</v>
      </c>
      <c r="J30" s="13">
        <f t="shared" si="6"/>
        <v>0</v>
      </c>
      <c r="K30" s="13">
        <f t="shared" si="6"/>
        <v>0</v>
      </c>
      <c r="L30" s="13">
        <f>L31+L37+L35+L32</f>
        <v>0</v>
      </c>
      <c r="M30" s="13">
        <f>M31+M32+M33+M34+M35+M36</f>
        <v>809053.44</v>
      </c>
      <c r="N30" s="16">
        <f t="shared" si="3"/>
        <v>885492.6399999999</v>
      </c>
      <c r="O30" s="12" t="s">
        <v>4</v>
      </c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6" customFormat="1" ht="37.5" customHeight="1">
      <c r="A31" s="10" t="s">
        <v>54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>
        <v>105043.6</v>
      </c>
      <c r="N31" s="16">
        <f t="shared" si="3"/>
        <v>105043.6</v>
      </c>
      <c r="O31" s="10" t="s">
        <v>43</v>
      </c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6" customFormat="1" ht="27" customHeight="1">
      <c r="A32" s="10" t="s">
        <v>55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>
        <v>390948</v>
      </c>
      <c r="N32" s="16">
        <f t="shared" si="3"/>
        <v>390948</v>
      </c>
      <c r="O32" s="10" t="s">
        <v>42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6" customFormat="1" ht="27" customHeight="1">
      <c r="A33" s="10" t="s">
        <v>56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>
        <v>48300</v>
      </c>
      <c r="N33" s="16">
        <f t="shared" si="3"/>
        <v>48300</v>
      </c>
      <c r="O33" s="10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6" customFormat="1" ht="27" customHeight="1">
      <c r="A34" s="10" t="s">
        <v>57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>
        <v>166456.96</v>
      </c>
      <c r="N34" s="16">
        <f t="shared" si="3"/>
        <v>166456.96</v>
      </c>
      <c r="O34" s="10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6" customFormat="1" ht="22.5" customHeight="1">
      <c r="A35" s="10" t="s">
        <v>60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>
        <v>31960</v>
      </c>
      <c r="N35" s="16">
        <f t="shared" si="3"/>
        <v>31960</v>
      </c>
      <c r="O35" s="10" t="s">
        <v>39</v>
      </c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6" customFormat="1" ht="22.5" customHeight="1">
      <c r="A36" s="10" t="s">
        <v>59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>
        <f>33172.44*2</f>
        <v>66344.88</v>
      </c>
      <c r="N36" s="16">
        <f t="shared" si="3"/>
        <v>66344.88</v>
      </c>
      <c r="O36" s="10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s="6" customFormat="1" ht="25.5" customHeight="1">
      <c r="A37" s="10" t="s">
        <v>6</v>
      </c>
      <c r="B37" s="11"/>
      <c r="C37" s="11"/>
      <c r="D37" s="11"/>
      <c r="E37" s="11"/>
      <c r="F37" s="11"/>
      <c r="G37" s="11"/>
      <c r="H37" s="11">
        <v>76439.2</v>
      </c>
      <c r="I37" s="11"/>
      <c r="J37" s="11"/>
      <c r="K37" s="11"/>
      <c r="L37" s="11"/>
      <c r="M37" s="11"/>
      <c r="N37" s="16">
        <f t="shared" si="3"/>
        <v>76439.2</v>
      </c>
      <c r="O37" s="10" t="s">
        <v>6</v>
      </c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s="15" customFormat="1" ht="25.5" customHeight="1">
      <c r="A38" s="14" t="s">
        <v>2</v>
      </c>
      <c r="B38" s="13">
        <f aca="true" t="shared" si="7" ref="B38:G38">B39+B43</f>
        <v>0</v>
      </c>
      <c r="C38" s="13">
        <f t="shared" si="7"/>
        <v>0</v>
      </c>
      <c r="D38" s="13">
        <f>D39+D43+D41</f>
        <v>13245.45</v>
      </c>
      <c r="E38" s="13">
        <f>E39+E43+E41</f>
        <v>-5545.45</v>
      </c>
      <c r="F38" s="13">
        <f t="shared" si="7"/>
        <v>0</v>
      </c>
      <c r="G38" s="13">
        <f t="shared" si="7"/>
        <v>0</v>
      </c>
      <c r="H38" s="13">
        <f>H39+H43+H40</f>
        <v>95650.27</v>
      </c>
      <c r="I38" s="13">
        <f>I39+I43+I40+I41+I42</f>
        <v>0</v>
      </c>
      <c r="J38" s="13">
        <f>J39+J43+J40+J41</f>
        <v>3060</v>
      </c>
      <c r="K38" s="13">
        <f>K39+K43+K40</f>
        <v>30000</v>
      </c>
      <c r="L38" s="13">
        <f>L39+L43+L40</f>
        <v>27102.75</v>
      </c>
      <c r="M38" s="13">
        <f>M39+M40+M41+M42+M43</f>
        <v>152053.18</v>
      </c>
      <c r="N38" s="16">
        <f t="shared" si="3"/>
        <v>315566.2</v>
      </c>
      <c r="O38" s="14" t="s">
        <v>2</v>
      </c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8.5" customHeight="1">
      <c r="A39" s="10" t="s">
        <v>7</v>
      </c>
      <c r="B39" s="11"/>
      <c r="C39" s="11"/>
      <c r="D39" s="11"/>
      <c r="E39" s="11"/>
      <c r="F39" s="11"/>
      <c r="G39" s="11"/>
      <c r="H39" s="11"/>
      <c r="I39" s="11"/>
      <c r="J39" s="11"/>
      <c r="K39" s="11">
        <v>30000</v>
      </c>
      <c r="L39" s="11">
        <v>27102.75</v>
      </c>
      <c r="M39" s="11">
        <f>38910-27102.75</f>
        <v>11807.25</v>
      </c>
      <c r="N39" s="16">
        <f t="shared" si="3"/>
        <v>68910</v>
      </c>
      <c r="O39" s="10" t="s">
        <v>7</v>
      </c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8.5" customHeight="1">
      <c r="A40" s="10" t="s">
        <v>37</v>
      </c>
      <c r="B40" s="11"/>
      <c r="C40" s="11"/>
      <c r="D40" s="11"/>
      <c r="E40" s="11"/>
      <c r="F40" s="11"/>
      <c r="G40" s="11"/>
      <c r="H40" s="11">
        <v>95650.27</v>
      </c>
      <c r="I40" s="11"/>
      <c r="J40" s="11">
        <v>3060</v>
      </c>
      <c r="K40" s="11"/>
      <c r="L40" s="11"/>
      <c r="M40" s="11"/>
      <c r="N40" s="16">
        <f t="shared" si="3"/>
        <v>98710.27</v>
      </c>
      <c r="O40" s="10" t="s">
        <v>37</v>
      </c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8.5" customHeight="1">
      <c r="A41" s="10" t="s">
        <v>40</v>
      </c>
      <c r="B41" s="11"/>
      <c r="C41" s="11"/>
      <c r="D41" s="11">
        <f>7700+5545.45</f>
        <v>13245.45</v>
      </c>
      <c r="E41" s="11">
        <v>-5545.45</v>
      </c>
      <c r="F41" s="11"/>
      <c r="G41" s="11"/>
      <c r="H41" s="11"/>
      <c r="I41" s="11"/>
      <c r="J41" s="11"/>
      <c r="K41" s="11"/>
      <c r="L41" s="11"/>
      <c r="M41" s="11"/>
      <c r="N41" s="16">
        <f t="shared" si="3"/>
        <v>7700.000000000001</v>
      </c>
      <c r="O41" s="10" t="s">
        <v>40</v>
      </c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8">
      <c r="A42" s="10" t="s">
        <v>58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>
        <v>69104</v>
      </c>
      <c r="N42" s="16">
        <f t="shared" si="3"/>
        <v>69104</v>
      </c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25.5" customHeight="1">
      <c r="A43" s="10" t="s">
        <v>25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>
        <f>21337+49804.93</f>
        <v>71141.93</v>
      </c>
      <c r="N43" s="16">
        <f t="shared" si="3"/>
        <v>71141.93</v>
      </c>
      <c r="O43" s="10" t="s">
        <v>25</v>
      </c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15" customFormat="1" ht="34.5" customHeight="1">
      <c r="A44" s="14" t="s">
        <v>3</v>
      </c>
      <c r="B44" s="13">
        <f>B5+B11+B14+B15+B16+B19+B30+B38</f>
        <v>400000</v>
      </c>
      <c r="C44" s="13">
        <f aca="true" t="shared" si="8" ref="C44:M44">C5+C11+C14+C15+C16+C19+C30+C38</f>
        <v>830957.5299999999</v>
      </c>
      <c r="D44" s="13">
        <f t="shared" si="8"/>
        <v>866016.86</v>
      </c>
      <c r="E44" s="13">
        <f t="shared" si="8"/>
        <v>637253.4200000002</v>
      </c>
      <c r="F44" s="13">
        <f t="shared" si="8"/>
        <v>907198.05</v>
      </c>
      <c r="G44" s="13">
        <f t="shared" si="8"/>
        <v>1934308.76</v>
      </c>
      <c r="H44" s="13">
        <f t="shared" si="8"/>
        <v>490565.38</v>
      </c>
      <c r="I44" s="13">
        <f t="shared" si="8"/>
        <v>385000</v>
      </c>
      <c r="J44" s="13">
        <f t="shared" si="8"/>
        <v>535000</v>
      </c>
      <c r="K44" s="13">
        <f>K5+K11+K14+K15+K16+K19+K30+K38</f>
        <v>745000</v>
      </c>
      <c r="L44" s="13">
        <f t="shared" si="8"/>
        <v>839999.9999999999</v>
      </c>
      <c r="M44" s="13">
        <f t="shared" si="8"/>
        <v>2101900</v>
      </c>
      <c r="N44" s="16">
        <f t="shared" si="3"/>
        <v>10673199.999999998</v>
      </c>
      <c r="O44" s="14" t="s">
        <v>3</v>
      </c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15" customFormat="1" ht="45" customHeight="1">
      <c r="A45" s="20" t="s">
        <v>33</v>
      </c>
      <c r="B45" s="13">
        <v>870000</v>
      </c>
      <c r="C45" s="13">
        <v>1000000</v>
      </c>
      <c r="D45" s="13">
        <f>530000</f>
        <v>530000</v>
      </c>
      <c r="E45" s="13">
        <v>631300</v>
      </c>
      <c r="F45" s="19">
        <v>900000</v>
      </c>
      <c r="G45" s="13">
        <f>1850000</f>
        <v>1850000</v>
      </c>
      <c r="H45" s="13">
        <f>560000</f>
        <v>560000</v>
      </c>
      <c r="I45" s="13">
        <v>410000</v>
      </c>
      <c r="J45" s="13">
        <v>700000</v>
      </c>
      <c r="K45" s="13">
        <f>660000</f>
        <v>660000</v>
      </c>
      <c r="L45" s="13">
        <v>960000</v>
      </c>
      <c r="M45" s="13">
        <v>1601900</v>
      </c>
      <c r="N45" s="16">
        <f t="shared" si="3"/>
        <v>10673200</v>
      </c>
      <c r="O45" s="20" t="s">
        <v>33</v>
      </c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15" customFormat="1" ht="39" customHeight="1">
      <c r="A46" s="20" t="s">
        <v>34</v>
      </c>
      <c r="B46" s="13">
        <f>B45-B44</f>
        <v>470000</v>
      </c>
      <c r="C46" s="13">
        <f aca="true" t="shared" si="9" ref="C46:M46">B46+C45-C44</f>
        <v>639042.4700000001</v>
      </c>
      <c r="D46" s="13">
        <f t="shared" si="9"/>
        <v>303025.6100000002</v>
      </c>
      <c r="E46" s="13">
        <f t="shared" si="9"/>
        <v>297072.19000000006</v>
      </c>
      <c r="F46" s="13">
        <f t="shared" si="9"/>
        <v>289874.1399999999</v>
      </c>
      <c r="G46" s="13">
        <f t="shared" si="9"/>
        <v>205565.37999999966</v>
      </c>
      <c r="H46" s="13">
        <f t="shared" si="9"/>
        <v>274999.99999999965</v>
      </c>
      <c r="I46" s="13">
        <f>H46+I45-I44</f>
        <v>299999.99999999965</v>
      </c>
      <c r="J46" s="13">
        <f t="shared" si="9"/>
        <v>464999.99999999965</v>
      </c>
      <c r="K46" s="13">
        <f>J46+K45-K44</f>
        <v>379999.99999999953</v>
      </c>
      <c r="L46" s="13">
        <f t="shared" si="9"/>
        <v>499999.99999999965</v>
      </c>
      <c r="M46" s="13">
        <f t="shared" si="9"/>
        <v>0</v>
      </c>
      <c r="N46" s="16">
        <f>N45-N44</f>
        <v>0</v>
      </c>
      <c r="O46" s="20" t="s">
        <v>34</v>
      </c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" ht="18">
      <c r="A47" s="7" t="s">
        <v>14</v>
      </c>
      <c r="B47" s="3" t="s">
        <v>15</v>
      </c>
    </row>
    <row r="48" ht="18">
      <c r="D48" s="18"/>
    </row>
    <row r="49" spans="1:2" ht="18">
      <c r="A49" s="7" t="s">
        <v>16</v>
      </c>
      <c r="B49" s="3" t="s">
        <v>17</v>
      </c>
    </row>
    <row r="51" ht="18">
      <c r="N51" s="3">
        <f>380000-N46</f>
        <v>380000</v>
      </c>
    </row>
  </sheetData>
  <sheetProtection/>
  <mergeCells count="2">
    <mergeCell ref="A2:B2"/>
    <mergeCell ref="A1:B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2018-01-08T09:47:32Z</cp:lastPrinted>
  <dcterms:created xsi:type="dcterms:W3CDTF">1996-10-08T23:32:33Z</dcterms:created>
  <dcterms:modified xsi:type="dcterms:W3CDTF">2018-01-08T09:47:39Z</dcterms:modified>
  <cp:category/>
  <cp:version/>
  <cp:contentType/>
  <cp:contentStatus/>
</cp:coreProperties>
</file>