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'!$A$1:$N$50</definedName>
  </definedNames>
  <calcPr fullCalcOnLoad="1"/>
</workbook>
</file>

<file path=xl/sharedStrings.xml><?xml version="1.0" encoding="utf-8"?>
<sst xmlns="http://schemas.openxmlformats.org/spreadsheetml/2006/main" count="99" uniqueCount="59">
  <si>
    <t>225 в.т.ч.</t>
  </si>
  <si>
    <t>226 в т.ч.</t>
  </si>
  <si>
    <t>340 в т.ч.</t>
  </si>
  <si>
    <t>ВСЕГО</t>
  </si>
  <si>
    <t xml:space="preserve">310 в т.ч. </t>
  </si>
  <si>
    <t>212 в т.ч.</t>
  </si>
  <si>
    <t>учебники</t>
  </si>
  <si>
    <t>канцел.товары</t>
  </si>
  <si>
    <t>211 в т.ч.</t>
  </si>
  <si>
    <t>итого</t>
  </si>
  <si>
    <t>зправка картриджей</t>
  </si>
  <si>
    <t>услуги парус</t>
  </si>
  <si>
    <t>МБОУ Ясиновская СОШ</t>
  </si>
  <si>
    <t>январь</t>
  </si>
  <si>
    <t>Директор школы</t>
  </si>
  <si>
    <t>О.Н.Максимова</t>
  </si>
  <si>
    <t>Главный  бухгалтер</t>
  </si>
  <si>
    <t>Н.А.Замула</t>
  </si>
  <si>
    <t>февраль</t>
  </si>
  <si>
    <t>сдача отчетности пенс.и налог.с ЭЦП Контур</t>
  </si>
  <si>
    <t>март</t>
  </si>
  <si>
    <t>апрель</t>
  </si>
  <si>
    <t>май</t>
  </si>
  <si>
    <t>июнь</t>
  </si>
  <si>
    <t>лицензионное программное обеспечение(Парус)</t>
  </si>
  <si>
    <t>хоз.товары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</si>
  <si>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</si>
  <si>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</si>
  <si>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</si>
  <si>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</si>
  <si>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</si>
  <si>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</si>
  <si>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лицензионное программное обеспечение </t>
  </si>
  <si>
    <t>ФИНАНСИРОВАНИЕ</t>
  </si>
  <si>
    <t>Остаток на счете</t>
  </si>
  <si>
    <t>обучение педработников (курсы повыш.квалификации)</t>
  </si>
  <si>
    <t>ремонт огр.техники</t>
  </si>
  <si>
    <t>раб.тетради</t>
  </si>
  <si>
    <t>м/осмотр педработников</t>
  </si>
  <si>
    <t>комплектующие на компьютер</t>
  </si>
  <si>
    <t>з/плата гарантированная</t>
  </si>
  <si>
    <t>надбавки педработникам</t>
  </si>
  <si>
    <t>премии</t>
  </si>
  <si>
    <t>повышающий коэффициент</t>
  </si>
  <si>
    <t>командировочные расходы (суточные,проезд.проживание)</t>
  </si>
  <si>
    <t>АИС-Контингент</t>
  </si>
  <si>
    <t>АРМ по ЕГЭ</t>
  </si>
  <si>
    <t>надбавки за качество и результативность</t>
  </si>
  <si>
    <t>мебель</t>
  </si>
  <si>
    <t>учебные пособия</t>
  </si>
  <si>
    <t>оргтехника</t>
  </si>
  <si>
    <t>картриджи</t>
  </si>
  <si>
    <t>обслуживание сайта школы</t>
  </si>
  <si>
    <t>эл.школа</t>
  </si>
  <si>
    <t>диктофон на егэ</t>
  </si>
  <si>
    <t>ЭЦП на ФРДО</t>
  </si>
  <si>
    <t>компьютеры</t>
  </si>
  <si>
    <t>шахмат.набор</t>
  </si>
  <si>
    <t>Информация о расходовании средств областного бюджета (субвенции) за январь-декабрь  2018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</si>
</sst>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0" fontId="6" fillId="0" borderId="0" xfId="0" applyNumberFormat="1" applyFont="1" applyFill="1" applyBorder="1" applyAlignment="1">
      <alignment horizontal="center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4" borderId="11" xfId="0" applyNumberFormat="1" applyFont="1" applyFill="1" applyBorder="1" applyAlignment="1">
      <alignment horizontal="left" wrapText="1"/>
    </xf>
    <xf numFmtId="184" fontId="5" fillId="4" borderId="11" xfId="0" applyNumberFormat="1" applyFont="1" applyFill="1" applyBorder="1" applyAlignment="1">
      <alignment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4" fontId="5" fillId="4" borderId="11" xfId="0" applyNumberFormat="1" applyFont="1" applyFill="1" applyBorder="1" applyAlignment="1">
      <alignment wrapText="1"/>
    </xf>
    <xf numFmtId="183" fontId="6" fillId="0" borderId="0" xfId="0" applyNumberFormat="1" applyFont="1" applyFill="1" applyBorder="1" applyAlignment="1">
      <alignment horizontal="left" wrapText="1"/>
    </xf>
    <xf numFmtId="2" fontId="6" fillId="0" borderId="0" xfId="0" applyNumberFormat="1" applyFont="1" applyFill="1" applyBorder="1" applyAlignment="1">
      <alignment/>
    </xf>
    <xf numFmtId="184" fontId="5" fillId="4" borderId="0" xfId="0" applyNumberFormat="1" applyFont="1" applyFill="1" applyBorder="1" applyAlignment="1">
      <alignment/>
    </xf>
    <xf numFmtId="183" fontId="7" fillId="4" borderId="11" xfId="0" applyNumberFormat="1" applyFont="1" applyFill="1" applyBorder="1" applyAlignment="1">
      <alignment wrapText="1"/>
    </xf>
    <xf numFmtId="180" fontId="6" fillId="0" borderId="0" xfId="0" applyNumberFormat="1" applyFont="1" applyFill="1" applyBorder="1" applyAlignment="1">
      <alignment horizontal="center" wrapText="1"/>
    </xf>
    <xf numFmtId="184" fontId="5" fillId="0" borderId="11" xfId="0" applyNumberFormat="1" applyFont="1" applyFill="1" applyBorder="1" applyAlignment="1">
      <alignment wrapText="1"/>
    </xf>
    <xf numFmtId="180" fontId="5" fillId="0" borderId="12" xfId="0" applyNumberFormat="1" applyFont="1" applyFill="1" applyBorder="1" applyAlignment="1">
      <alignment horizontal="center" wrapText="1"/>
    </xf>
    <xf numFmtId="184" fontId="5" fillId="0" borderId="13" xfId="0" applyNumberFormat="1" applyFont="1" applyFill="1" applyBorder="1" applyAlignment="1">
      <alignment wrapText="1"/>
    </xf>
    <xf numFmtId="180" fontId="5" fillId="0" borderId="14" xfId="0" applyNumberFormat="1" applyFont="1" applyFill="1" applyBorder="1" applyAlignment="1">
      <alignment horizontal="center" wrapText="1"/>
    </xf>
    <xf numFmtId="180" fontId="6" fillId="0" borderId="0" xfId="0" applyNumberFormat="1" applyFont="1" applyFill="1" applyBorder="1" applyAlignment="1">
      <alignment horizontal="center" wrapText="1"/>
    </xf>
    <xf numFmtId="180" fontId="6" fillId="0" borderId="0" xfId="0" applyNumberFormat="1" applyFont="1" applyFill="1" applyBorder="1" applyAlignment="1">
      <alignment horizontal="center"/>
    </xf>
    <xf numFmtId="183" fontId="6" fillId="0" borderId="0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tabSelected="1" view="pageBreakPreview" zoomScale="75" zoomScaleNormal="50" zoomScaleSheetLayoutView="75" zoomScalePageLayoutView="0" workbookViewId="0" topLeftCell="L1">
      <selection activeCell="N22" sqref="N22"/>
    </sheetView>
  </sheetViews>
  <sheetFormatPr defaultColWidth="9.140625" defaultRowHeight="12.75"/>
  <cols>
    <col min="1" max="1" width="78.421875" style="7" customWidth="1"/>
    <col min="2" max="2" width="25.140625" style="3" customWidth="1"/>
    <col min="3" max="3" width="19.57421875" style="3" customWidth="1"/>
    <col min="4" max="4" width="18.28125" style="3" customWidth="1"/>
    <col min="5" max="5" width="21.7109375" style="3" customWidth="1"/>
    <col min="6" max="6" width="21.140625" style="3" customWidth="1"/>
    <col min="7" max="7" width="21.00390625" style="3" customWidth="1"/>
    <col min="8" max="8" width="21.28125" style="3" customWidth="1"/>
    <col min="9" max="9" width="22.28125" style="3" customWidth="1"/>
    <col min="10" max="10" width="19.28125" style="3" customWidth="1"/>
    <col min="11" max="11" width="19.140625" style="3" customWidth="1"/>
    <col min="12" max="12" width="22.57421875" style="3" customWidth="1"/>
    <col min="13" max="13" width="20.57421875" style="3" customWidth="1"/>
    <col min="14" max="14" width="22.7109375" style="3" customWidth="1"/>
    <col min="15" max="15" width="68.7109375" style="2" customWidth="1"/>
    <col min="16" max="16" width="15.421875" style="2" customWidth="1"/>
    <col min="17" max="17" width="10.140625" style="2" customWidth="1"/>
    <col min="18" max="16384" width="9.140625" style="2" customWidth="1"/>
  </cols>
  <sheetData>
    <row r="1" spans="1:14" ht="54.75" customHeight="1">
      <c r="A1" s="28" t="s">
        <v>58</v>
      </c>
      <c r="B1" s="2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1.75" customHeight="1">
      <c r="A2" s="26" t="s">
        <v>12</v>
      </c>
      <c r="B2" s="2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21.75" customHeight="1">
      <c r="A3" s="21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25" s="4" customFormat="1" ht="31.5" customHeight="1">
      <c r="A4" s="9"/>
      <c r="B4" s="23" t="s">
        <v>13</v>
      </c>
      <c r="C4" s="23" t="s">
        <v>18</v>
      </c>
      <c r="D4" s="23" t="s">
        <v>20</v>
      </c>
      <c r="E4" s="23" t="s">
        <v>21</v>
      </c>
      <c r="F4" s="23" t="s">
        <v>22</v>
      </c>
      <c r="G4" s="23" t="s">
        <v>23</v>
      </c>
      <c r="H4" s="23" t="s">
        <v>26</v>
      </c>
      <c r="I4" s="23" t="s">
        <v>27</v>
      </c>
      <c r="J4" s="23" t="s">
        <v>28</v>
      </c>
      <c r="K4" s="23" t="s">
        <v>29</v>
      </c>
      <c r="L4" s="23" t="s">
        <v>30</v>
      </c>
      <c r="M4" s="23" t="s">
        <v>31</v>
      </c>
      <c r="N4" s="25" t="s">
        <v>9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15" customFormat="1" ht="24" customHeight="1">
      <c r="A5" s="12" t="s">
        <v>8</v>
      </c>
      <c r="B5" s="16">
        <f>B6+B7+B8+B10</f>
        <v>378500</v>
      </c>
      <c r="C5" s="16">
        <f aca="true" t="shared" si="0" ref="C5:M5">C6+C7+C8+C10</f>
        <v>701083.02</v>
      </c>
      <c r="D5" s="16">
        <f>D6+D7+D8+D10</f>
        <v>578838.55</v>
      </c>
      <c r="E5" s="16">
        <f>E6+E7+E8+E10</f>
        <v>694127.29</v>
      </c>
      <c r="F5" s="16">
        <f t="shared" si="0"/>
        <v>680746.71</v>
      </c>
      <c r="G5" s="16">
        <f t="shared" si="0"/>
        <v>1468436.53</v>
      </c>
      <c r="H5" s="16">
        <f t="shared" si="0"/>
        <v>268207.83</v>
      </c>
      <c r="I5" s="16">
        <f t="shared" si="0"/>
        <v>220400.83</v>
      </c>
      <c r="J5" s="16">
        <f t="shared" si="0"/>
        <v>499473.02</v>
      </c>
      <c r="K5" s="16">
        <f t="shared" si="0"/>
        <v>464555.20999999996</v>
      </c>
      <c r="L5" s="16">
        <f t="shared" si="0"/>
        <v>665496.71</v>
      </c>
      <c r="M5" s="16">
        <f t="shared" si="0"/>
        <v>695685.82</v>
      </c>
      <c r="N5" s="16">
        <f aca="true" t="shared" si="1" ref="N5:N11">B5+C5+D5+E5+F5+G5+H5+I5+J5+K5+L5+M5</f>
        <v>7315551.520000001</v>
      </c>
      <c r="O5" s="12" t="s">
        <v>8</v>
      </c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s="15" customFormat="1" ht="24" customHeight="1">
      <c r="A6" s="10" t="s">
        <v>40</v>
      </c>
      <c r="B6" s="22">
        <f>85000+293500</f>
        <v>378500</v>
      </c>
      <c r="C6" s="22">
        <f>(75956+4147.28+32391.57+113446.32+113000+362141.85)-C8</f>
        <v>692250.8200000001</v>
      </c>
      <c r="D6" s="22">
        <f>(3033.11+111000+14521+3786.15+364190.01+80000+2308.28)-8832.2</f>
        <v>570006.3500000001</v>
      </c>
      <c r="E6" s="22">
        <f>116034.11+450093.18-25000-E8+75000+75000+3000</f>
        <v>685295.0900000001</v>
      </c>
      <c r="F6" s="22">
        <f>9727.33+39448.42+111000+279800+15702+8311.62+63757.34+50000+100000-8832.2+3000</f>
        <v>671914.51</v>
      </c>
      <c r="G6" s="22">
        <f>50000+3940.58+150000+4522.27+20909.92+4677+8331.22+58448.94+294000+741688.22+126508.56+5409.82-G8</f>
        <v>1459604.33</v>
      </c>
      <c r="H6" s="22">
        <f>6392.97+159060.26+8000+9079.34+1700+26975.26+3000+4000+50000-H8</f>
        <v>260055.03000000003</v>
      </c>
      <c r="I6" s="22">
        <f>37000+181500+1900.83-I8</f>
        <v>212248.03</v>
      </c>
      <c r="J6" s="22">
        <f>711.88+78000+14461.14+406300-J8</f>
        <v>491320.22000000003</v>
      </c>
      <c r="K6" s="22">
        <f>(9187.47+62000+56476.08+267925+966.66+68000)-K8</f>
        <v>456402.41</v>
      </c>
      <c r="L6" s="22">
        <f>14527.63+128569.08+417600+84000+20000+800-L8</f>
        <v>657343.9099999999</v>
      </c>
      <c r="M6" s="22">
        <f>3603.99+43123.03+60555+2591.25+84000+418790.66+63937+1972.62+17112.27-M8-M10</f>
        <v>602871.5199999999</v>
      </c>
      <c r="N6" s="22">
        <f t="shared" si="1"/>
        <v>7137812.220000001</v>
      </c>
      <c r="O6" s="10" t="s">
        <v>40</v>
      </c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s="15" customFormat="1" ht="24" customHeight="1">
      <c r="A7" s="10" t="s">
        <v>41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>
        <f t="shared" si="1"/>
        <v>0</v>
      </c>
      <c r="O7" s="10" t="s">
        <v>41</v>
      </c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s="15" customFormat="1" ht="24" customHeight="1">
      <c r="A8" s="10" t="s">
        <v>43</v>
      </c>
      <c r="B8" s="22"/>
      <c r="C8" s="22">
        <f>8832.2</f>
        <v>8832.2</v>
      </c>
      <c r="D8" s="22">
        <v>8832.2</v>
      </c>
      <c r="E8" s="22">
        <v>8832.2</v>
      </c>
      <c r="F8" s="22">
        <v>8832.2</v>
      </c>
      <c r="G8" s="22">
        <v>8832.2</v>
      </c>
      <c r="H8" s="22">
        <v>8152.8</v>
      </c>
      <c r="I8" s="22">
        <v>8152.8</v>
      </c>
      <c r="J8" s="22">
        <v>8152.8</v>
      </c>
      <c r="K8" s="22">
        <v>8152.8</v>
      </c>
      <c r="L8" s="22">
        <v>8152.8</v>
      </c>
      <c r="M8" s="22">
        <v>8152.8</v>
      </c>
      <c r="N8" s="22">
        <f t="shared" si="1"/>
        <v>93077.80000000002</v>
      </c>
      <c r="O8" s="10" t="s">
        <v>43</v>
      </c>
      <c r="P8" s="1">
        <f>5226*4+3396.9+5226*2+2953.83+16984.5+3527.55+13124.39+3527.55+16237.93+2643.03+16984.5+4412.07</f>
        <v>115148.25000000003</v>
      </c>
      <c r="Q8" s="1">
        <f>P8-85882.65</f>
        <v>29265.600000000035</v>
      </c>
      <c r="R8" s="1"/>
      <c r="S8" s="1"/>
      <c r="T8" s="1"/>
      <c r="U8" s="1"/>
      <c r="V8" s="1"/>
      <c r="W8" s="1"/>
      <c r="X8" s="1"/>
      <c r="Y8" s="1"/>
    </row>
    <row r="9" spans="1:25" s="15" customFormat="1" ht="24" customHeight="1">
      <c r="A9" s="10" t="s">
        <v>47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>
        <f t="shared" si="1"/>
        <v>0</v>
      </c>
      <c r="O9" s="10" t="s">
        <v>47</v>
      </c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s="15" customFormat="1" ht="24" customHeight="1">
      <c r="A10" s="10" t="s">
        <v>42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>
        <f>92814.3-M8</f>
        <v>84661.5</v>
      </c>
      <c r="N10" s="22">
        <f t="shared" si="1"/>
        <v>84661.5</v>
      </c>
      <c r="O10" s="10" t="s">
        <v>42</v>
      </c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s="15" customFormat="1" ht="31.5" customHeight="1">
      <c r="A11" s="12" t="s">
        <v>5</v>
      </c>
      <c r="B11" s="13">
        <f aca="true" t="shared" si="2" ref="B11:I11">B12+B13</f>
        <v>0</v>
      </c>
      <c r="C11" s="13">
        <f t="shared" si="2"/>
        <v>0</v>
      </c>
      <c r="D11" s="13">
        <f>D12</f>
        <v>0</v>
      </c>
      <c r="E11" s="13">
        <f t="shared" si="2"/>
        <v>0</v>
      </c>
      <c r="F11" s="13">
        <f t="shared" si="2"/>
        <v>1621</v>
      </c>
      <c r="G11" s="13">
        <f t="shared" si="2"/>
        <v>0</v>
      </c>
      <c r="H11" s="13">
        <f t="shared" si="2"/>
        <v>0</v>
      </c>
      <c r="I11" s="13">
        <f t="shared" si="2"/>
        <v>0</v>
      </c>
      <c r="J11" s="13">
        <f>J12+J13</f>
        <v>548</v>
      </c>
      <c r="K11" s="13">
        <f>K12+K13</f>
        <v>2001</v>
      </c>
      <c r="L11" s="13">
        <f>L12+L13</f>
        <v>1276</v>
      </c>
      <c r="M11" s="13">
        <f>M12+M13</f>
        <v>0</v>
      </c>
      <c r="N11" s="16">
        <f t="shared" si="1"/>
        <v>5446</v>
      </c>
      <c r="O11" s="12" t="s">
        <v>5</v>
      </c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43.5" customHeight="1">
      <c r="A12" s="10" t="s">
        <v>44</v>
      </c>
      <c r="B12" s="11"/>
      <c r="C12" s="11"/>
      <c r="D12" s="11"/>
      <c r="E12" s="11"/>
      <c r="F12" s="11">
        <v>1621</v>
      </c>
      <c r="G12" s="11"/>
      <c r="H12" s="11"/>
      <c r="I12" s="11"/>
      <c r="J12" s="11">
        <v>548</v>
      </c>
      <c r="K12" s="11">
        <f>905+548*2</f>
        <v>2001</v>
      </c>
      <c r="L12" s="11">
        <f>728+548</f>
        <v>1276</v>
      </c>
      <c r="M12" s="11"/>
      <c r="N12" s="16">
        <f aca="true" t="shared" si="3" ref="N12:N46">B12+C12+D12+E12+F12+G12+H12+I12+J12+K12+L12+M12</f>
        <v>5446</v>
      </c>
      <c r="O12" s="10" t="s">
        <v>44</v>
      </c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8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6">
        <f t="shared" si="3"/>
        <v>0</v>
      </c>
      <c r="O13" s="10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s="15" customFormat="1" ht="18">
      <c r="A14" s="12">
        <v>213</v>
      </c>
      <c r="B14" s="13"/>
      <c r="C14" s="13">
        <f>1223.29+17737.83+31194.1+134562.8</f>
        <v>184718.02</v>
      </c>
      <c r="D14" s="22">
        <f>1200+18000+31000+140000</f>
        <v>190200</v>
      </c>
      <c r="E14" s="13">
        <f>1200+18000+30000+130000+111019.54</f>
        <v>290219.54</v>
      </c>
      <c r="F14" s="13">
        <f>82359.74+18200+34000</f>
        <v>134559.74</v>
      </c>
      <c r="G14" s="13">
        <f>1391.04+20814.99+36531.53+90554.32+2545.98+37016.57+65122.22+292008.48+7679.44</f>
        <v>553664.57</v>
      </c>
      <c r="H14" s="13">
        <f>500+5000+11000+20000+500+8500+15000+9000+1300+20000+35000+148963.35</f>
        <v>274763.35</v>
      </c>
      <c r="I14" s="13">
        <v>6184.27</v>
      </c>
      <c r="J14" s="13">
        <v>34710.89</v>
      </c>
      <c r="K14" s="13">
        <f>1049.94+15000+30000+13452</f>
        <v>59501.94</v>
      </c>
      <c r="L14" s="13">
        <f>400+4000+3500+48000+50000</f>
        <v>105900</v>
      </c>
      <c r="M14" s="13">
        <f>915.42+13602.36+23532.11+126859.44+1091.16+15822.32+28299.26+147497.27</f>
        <v>357619.34</v>
      </c>
      <c r="N14" s="16">
        <f t="shared" si="3"/>
        <v>2192041.66</v>
      </c>
      <c r="O14" s="12">
        <v>213</v>
      </c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15" customFormat="1" ht="18">
      <c r="A15" s="12">
        <v>221</v>
      </c>
      <c r="B15" s="13">
        <f>26.2+156.4</f>
        <v>182.6</v>
      </c>
      <c r="C15" s="13">
        <f>970.04+2990</f>
        <v>3960.04</v>
      </c>
      <c r="D15" s="13">
        <f>2990+1014.8</f>
        <v>4004.8</v>
      </c>
      <c r="E15" s="13">
        <f>2990+1139.88+47.99</f>
        <v>4177.87</v>
      </c>
      <c r="F15" s="13">
        <f>2990+1037.46</f>
        <v>4027.46</v>
      </c>
      <c r="G15" s="13">
        <f>2990+925.83+12.98</f>
        <v>3928.81</v>
      </c>
      <c r="H15" s="13">
        <f>2990+990.73</f>
        <v>3980.73</v>
      </c>
      <c r="I15" s="13">
        <f>236+1034.81</f>
        <v>1270.81</v>
      </c>
      <c r="J15" s="13">
        <f>236+1062</f>
        <v>1298</v>
      </c>
      <c r="K15" s="13">
        <f>2990+981.76</f>
        <v>3971.76</v>
      </c>
      <c r="L15" s="13">
        <f>2990+1099.76+5.4</f>
        <v>4095.1600000000003</v>
      </c>
      <c r="M15" s="13">
        <f>2990*2+1151.68+1500</f>
        <v>8631.68</v>
      </c>
      <c r="N15" s="16">
        <f t="shared" si="3"/>
        <v>43529.72000000001</v>
      </c>
      <c r="O15" s="12">
        <v>221</v>
      </c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s="15" customFormat="1" ht="27" customHeight="1">
      <c r="A16" s="14" t="s">
        <v>0</v>
      </c>
      <c r="B16" s="13">
        <f aca="true" t="shared" si="4" ref="B16:M16">B17+B18</f>
        <v>0</v>
      </c>
      <c r="C16" s="13">
        <f t="shared" si="4"/>
        <v>0</v>
      </c>
      <c r="D16" s="13">
        <f t="shared" si="4"/>
        <v>15000</v>
      </c>
      <c r="E16" s="13">
        <f t="shared" si="4"/>
        <v>0</v>
      </c>
      <c r="F16" s="13">
        <f t="shared" si="4"/>
        <v>0</v>
      </c>
      <c r="G16" s="13">
        <f t="shared" si="4"/>
        <v>0</v>
      </c>
      <c r="H16" s="13">
        <f t="shared" si="4"/>
        <v>0</v>
      </c>
      <c r="I16" s="13">
        <f t="shared" si="4"/>
        <v>0</v>
      </c>
      <c r="J16" s="13">
        <f t="shared" si="4"/>
        <v>0</v>
      </c>
      <c r="K16" s="13">
        <f t="shared" si="4"/>
        <v>0</v>
      </c>
      <c r="L16" s="13">
        <f t="shared" si="4"/>
        <v>0</v>
      </c>
      <c r="M16" s="13">
        <f t="shared" si="4"/>
        <v>15000</v>
      </c>
      <c r="N16" s="16">
        <f t="shared" si="3"/>
        <v>30000</v>
      </c>
      <c r="O16" s="14" t="s">
        <v>0</v>
      </c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5.5" customHeight="1">
      <c r="A17" s="10" t="s">
        <v>10</v>
      </c>
      <c r="B17" s="11"/>
      <c r="C17" s="11"/>
      <c r="D17" s="11">
        <v>15000</v>
      </c>
      <c r="E17" s="11"/>
      <c r="F17" s="11"/>
      <c r="G17" s="11"/>
      <c r="H17" s="11"/>
      <c r="I17" s="11"/>
      <c r="J17" s="11"/>
      <c r="K17" s="11"/>
      <c r="L17" s="11"/>
      <c r="M17" s="11">
        <v>15000</v>
      </c>
      <c r="N17" s="16">
        <f t="shared" si="3"/>
        <v>30000</v>
      </c>
      <c r="O17" s="10" t="s">
        <v>10</v>
      </c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4" customHeight="1">
      <c r="A18" s="10" t="s">
        <v>36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6">
        <f t="shared" si="3"/>
        <v>0</v>
      </c>
      <c r="O18" s="10" t="s">
        <v>36</v>
      </c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s="15" customFormat="1" ht="31.5" customHeight="1">
      <c r="A19" s="14" t="s">
        <v>1</v>
      </c>
      <c r="B19" s="13">
        <f>B20+B21+B22+B23+B24+B25+B26+B27+B28+B29+B30</f>
        <v>0</v>
      </c>
      <c r="C19" s="13">
        <f aca="true" t="shared" si="5" ref="C19:N19">C20+C21+C22+C23+C24+C25+C26+C27+C28+C29+C30</f>
        <v>3970.09</v>
      </c>
      <c r="D19" s="13">
        <f t="shared" si="5"/>
        <v>10830.09</v>
      </c>
      <c r="E19" s="13">
        <f t="shared" si="5"/>
        <v>78688.09</v>
      </c>
      <c r="F19" s="13">
        <f t="shared" si="5"/>
        <v>29045.09</v>
      </c>
      <c r="G19" s="13">
        <f t="shared" si="5"/>
        <v>3970.09</v>
      </c>
      <c r="H19" s="13">
        <f>H20+H21+H22+H23+H24+H25+H26+H27+H28+H29+H30</f>
        <v>33048.09</v>
      </c>
      <c r="I19" s="13">
        <f t="shared" si="5"/>
        <v>3970.09</v>
      </c>
      <c r="J19" s="13">
        <f t="shared" si="5"/>
        <v>3970.09</v>
      </c>
      <c r="K19" s="13">
        <f t="shared" si="5"/>
        <v>9970.09</v>
      </c>
      <c r="L19" s="13">
        <f t="shared" si="5"/>
        <v>3970.09</v>
      </c>
      <c r="M19" s="13">
        <f t="shared" si="5"/>
        <v>171600.18</v>
      </c>
      <c r="N19" s="13">
        <f t="shared" si="5"/>
        <v>353032.08</v>
      </c>
      <c r="O19" s="14" t="s">
        <v>1</v>
      </c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s="6" customFormat="1" ht="25.5" customHeight="1">
      <c r="A20" s="10" t="s">
        <v>24</v>
      </c>
      <c r="B20" s="11"/>
      <c r="C20" s="11"/>
      <c r="D20" s="11"/>
      <c r="E20" s="11"/>
      <c r="F20" s="11">
        <v>16575</v>
      </c>
      <c r="G20" s="11"/>
      <c r="H20" s="11"/>
      <c r="I20" s="11"/>
      <c r="J20" s="11"/>
      <c r="K20" s="11"/>
      <c r="L20" s="11"/>
      <c r="M20" s="11">
        <f>7580</f>
        <v>7580</v>
      </c>
      <c r="N20" s="16">
        <f t="shared" si="3"/>
        <v>24155</v>
      </c>
      <c r="O20" s="10" t="s">
        <v>24</v>
      </c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s="6" customFormat="1" ht="25.5" customHeight="1">
      <c r="A21" s="10" t="s">
        <v>55</v>
      </c>
      <c r="B21" s="11"/>
      <c r="C21" s="11"/>
      <c r="D21" s="11"/>
      <c r="E21" s="11"/>
      <c r="F21" s="11">
        <f>1290+3010</f>
        <v>4300</v>
      </c>
      <c r="G21" s="11"/>
      <c r="H21" s="11"/>
      <c r="I21" s="11"/>
      <c r="J21" s="11"/>
      <c r="K21" s="11"/>
      <c r="L21" s="11"/>
      <c r="M21" s="11"/>
      <c r="N21" s="16">
        <f t="shared" si="3"/>
        <v>4300</v>
      </c>
      <c r="O21" s="10" t="s">
        <v>55</v>
      </c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s="6" customFormat="1" ht="22.5" customHeight="1">
      <c r="A22" s="10" t="s">
        <v>11</v>
      </c>
      <c r="B22" s="11"/>
      <c r="C22" s="11"/>
      <c r="D22" s="11"/>
      <c r="E22" s="11"/>
      <c r="F22" s="11">
        <v>4200</v>
      </c>
      <c r="G22" s="11"/>
      <c r="H22" s="11"/>
      <c r="I22" s="11"/>
      <c r="J22" s="11"/>
      <c r="K22" s="11">
        <f>2400+3600</f>
        <v>6000</v>
      </c>
      <c r="L22" s="11"/>
      <c r="M22" s="11">
        <f>6000+1800+24000</f>
        <v>31800</v>
      </c>
      <c r="N22" s="16">
        <f t="shared" si="3"/>
        <v>42000</v>
      </c>
      <c r="O22" s="10" t="s">
        <v>11</v>
      </c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s="6" customFormat="1" ht="22.5" customHeight="1">
      <c r="A23" s="10" t="s">
        <v>45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6">
        <f t="shared" si="3"/>
        <v>0</v>
      </c>
      <c r="O23" s="10" t="s">
        <v>45</v>
      </c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s="6" customFormat="1" ht="22.5" customHeight="1">
      <c r="A24" s="10" t="s">
        <v>46</v>
      </c>
      <c r="B24" s="11"/>
      <c r="C24" s="11"/>
      <c r="D24" s="11"/>
      <c r="E24" s="11">
        <v>9198</v>
      </c>
      <c r="F24" s="11"/>
      <c r="G24" s="11"/>
      <c r="H24" s="11"/>
      <c r="I24" s="11"/>
      <c r="J24" s="11"/>
      <c r="K24" s="11"/>
      <c r="L24" s="11"/>
      <c r="M24" s="11"/>
      <c r="N24" s="16">
        <f t="shared" si="3"/>
        <v>9198</v>
      </c>
      <c r="O24" s="10" t="s">
        <v>46</v>
      </c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s="6" customFormat="1" ht="28.5" customHeight="1">
      <c r="A25" s="10" t="s">
        <v>53</v>
      </c>
      <c r="B25" s="11"/>
      <c r="C25" s="11">
        <v>2470.09</v>
      </c>
      <c r="D25" s="11">
        <v>2470.09</v>
      </c>
      <c r="E25" s="11">
        <v>2470.09</v>
      </c>
      <c r="F25" s="11">
        <v>2470.09</v>
      </c>
      <c r="G25" s="11">
        <v>2470.09</v>
      </c>
      <c r="H25" s="11">
        <v>2470.09</v>
      </c>
      <c r="I25" s="11">
        <v>2470.09</v>
      </c>
      <c r="J25" s="11">
        <v>2470.09</v>
      </c>
      <c r="K25" s="11">
        <v>2470.09</v>
      </c>
      <c r="L25" s="11">
        <v>2470.09</v>
      </c>
      <c r="M25" s="11">
        <f>2470.09*2</f>
        <v>4940.18</v>
      </c>
      <c r="N25" s="16">
        <f t="shared" si="3"/>
        <v>29641.08</v>
      </c>
      <c r="O25" s="10" t="s">
        <v>53</v>
      </c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s="6" customFormat="1" ht="30" customHeight="1">
      <c r="A26" s="10" t="s">
        <v>32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>
        <v>124280</v>
      </c>
      <c r="N26" s="16">
        <f t="shared" si="3"/>
        <v>124280</v>
      </c>
      <c r="O26" s="10" t="s">
        <v>32</v>
      </c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s="6" customFormat="1" ht="30" customHeight="1">
      <c r="A27" s="10" t="s">
        <v>38</v>
      </c>
      <c r="B27" s="11"/>
      <c r="C27" s="11"/>
      <c r="D27" s="11"/>
      <c r="E27" s="11"/>
      <c r="F27" s="11"/>
      <c r="G27" s="11"/>
      <c r="H27" s="11">
        <v>29078</v>
      </c>
      <c r="I27" s="11"/>
      <c r="J27" s="11"/>
      <c r="K27" s="11"/>
      <c r="L27" s="11"/>
      <c r="M27" s="11"/>
      <c r="N27" s="16">
        <f t="shared" si="3"/>
        <v>29078</v>
      </c>
      <c r="O27" s="10" t="s">
        <v>38</v>
      </c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s="6" customFormat="1" ht="19.5" customHeight="1">
      <c r="A28" s="10" t="s">
        <v>35</v>
      </c>
      <c r="B28" s="11"/>
      <c r="C28" s="11"/>
      <c r="D28" s="11"/>
      <c r="E28" s="11">
        <v>65520</v>
      </c>
      <c r="F28" s="11"/>
      <c r="G28" s="11"/>
      <c r="H28" s="11"/>
      <c r="I28" s="11"/>
      <c r="J28" s="11"/>
      <c r="K28" s="11"/>
      <c r="L28" s="11"/>
      <c r="M28" s="11"/>
      <c r="N28" s="16">
        <f t="shared" si="3"/>
        <v>65520</v>
      </c>
      <c r="O28" s="10" t="s">
        <v>35</v>
      </c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s="6" customFormat="1" ht="19.5" customHeight="1">
      <c r="A29" s="10" t="s">
        <v>52</v>
      </c>
      <c r="B29" s="11"/>
      <c r="C29" s="11">
        <v>1500</v>
      </c>
      <c r="D29" s="11">
        <v>1500</v>
      </c>
      <c r="E29" s="11">
        <v>1500</v>
      </c>
      <c r="F29" s="11">
        <v>1500</v>
      </c>
      <c r="G29" s="11">
        <v>1500</v>
      </c>
      <c r="H29" s="11">
        <v>1500</v>
      </c>
      <c r="I29" s="11">
        <v>1500</v>
      </c>
      <c r="J29" s="11">
        <v>1500</v>
      </c>
      <c r="K29" s="11">
        <v>1500</v>
      </c>
      <c r="L29" s="11">
        <v>1500</v>
      </c>
      <c r="M29" s="11">
        <f>1500*2</f>
        <v>3000</v>
      </c>
      <c r="N29" s="16">
        <f t="shared" si="3"/>
        <v>18000</v>
      </c>
      <c r="O29" s="10" t="s">
        <v>52</v>
      </c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s="6" customFormat="1" ht="30" customHeight="1">
      <c r="A30" s="10" t="s">
        <v>19</v>
      </c>
      <c r="B30" s="11"/>
      <c r="C30" s="11"/>
      <c r="D30" s="11">
        <f>6360+500</f>
        <v>6860</v>
      </c>
      <c r="E30" s="11"/>
      <c r="F30" s="11"/>
      <c r="G30" s="11"/>
      <c r="H30" s="11"/>
      <c r="I30" s="11"/>
      <c r="J30" s="11"/>
      <c r="K30" s="11"/>
      <c r="L30" s="11"/>
      <c r="M30" s="11"/>
      <c r="N30" s="16">
        <f t="shared" si="3"/>
        <v>6860</v>
      </c>
      <c r="O30" s="10" t="s">
        <v>19</v>
      </c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s="15" customFormat="1" ht="30" customHeight="1">
      <c r="A31" s="12" t="s">
        <v>4</v>
      </c>
      <c r="B31" s="13">
        <f aca="true" t="shared" si="6" ref="B31:K31">B32+B38</f>
        <v>0</v>
      </c>
      <c r="C31" s="13">
        <f>C32+C36+C38</f>
        <v>0</v>
      </c>
      <c r="D31" s="13">
        <f>D32+D38+D36</f>
        <v>3500</v>
      </c>
      <c r="E31" s="13">
        <f t="shared" si="6"/>
        <v>0</v>
      </c>
      <c r="F31" s="13">
        <f t="shared" si="6"/>
        <v>0</v>
      </c>
      <c r="G31" s="13">
        <f t="shared" si="6"/>
        <v>0</v>
      </c>
      <c r="H31" s="13">
        <f t="shared" si="6"/>
        <v>0</v>
      </c>
      <c r="I31" s="13">
        <f t="shared" si="6"/>
        <v>83850</v>
      </c>
      <c r="J31" s="13">
        <f t="shared" si="6"/>
        <v>0</v>
      </c>
      <c r="K31" s="13">
        <f t="shared" si="6"/>
        <v>0</v>
      </c>
      <c r="L31" s="13">
        <f>L32+L38+L36+L33</f>
        <v>0</v>
      </c>
      <c r="M31" s="13">
        <f>M32+M33+M34+M35+M36+M37</f>
        <v>858217</v>
      </c>
      <c r="N31" s="16">
        <f t="shared" si="3"/>
        <v>945567</v>
      </c>
      <c r="O31" s="12" t="s">
        <v>4</v>
      </c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s="6" customFormat="1" ht="37.5" customHeight="1">
      <c r="A32" s="10" t="s">
        <v>48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>
        <v>195765</v>
      </c>
      <c r="N32" s="16">
        <f t="shared" si="3"/>
        <v>195765</v>
      </c>
      <c r="O32" s="10" t="s">
        <v>48</v>
      </c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s="6" customFormat="1" ht="27" customHeight="1">
      <c r="A33" s="10" t="s">
        <v>49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>
        <f>27842+278310</f>
        <v>306152</v>
      </c>
      <c r="N33" s="16">
        <f t="shared" si="3"/>
        <v>306152</v>
      </c>
      <c r="O33" s="10" t="s">
        <v>49</v>
      </c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s="6" customFormat="1" ht="27" customHeight="1">
      <c r="A34" s="10" t="s">
        <v>57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>
        <v>20500</v>
      </c>
      <c r="N34" s="16">
        <f t="shared" si="3"/>
        <v>20500</v>
      </c>
      <c r="O34" s="10" t="s">
        <v>57</v>
      </c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s="6" customFormat="1" ht="27" customHeight="1">
      <c r="A35" s="10" t="s">
        <v>50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>
        <f>66730-4130</f>
        <v>62600</v>
      </c>
      <c r="N35" s="16">
        <f t="shared" si="3"/>
        <v>62600</v>
      </c>
      <c r="O35" s="10" t="s">
        <v>50</v>
      </c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s="6" customFormat="1" ht="22.5" customHeight="1">
      <c r="A36" s="10" t="s">
        <v>54</v>
      </c>
      <c r="B36" s="11"/>
      <c r="C36" s="11"/>
      <c r="D36" s="11">
        <v>3500</v>
      </c>
      <c r="E36" s="11"/>
      <c r="F36" s="11"/>
      <c r="G36" s="11"/>
      <c r="H36" s="11"/>
      <c r="I36" s="11"/>
      <c r="J36" s="11"/>
      <c r="K36" s="11"/>
      <c r="L36" s="11"/>
      <c r="M36" s="11"/>
      <c r="N36" s="16">
        <f t="shared" si="3"/>
        <v>3500</v>
      </c>
      <c r="O36" s="10" t="s">
        <v>54</v>
      </c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s="6" customFormat="1" ht="22.5" customHeight="1">
      <c r="A37" s="10" t="s">
        <v>56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>
        <f>283920-1600-5600-3520</f>
        <v>273200</v>
      </c>
      <c r="N37" s="16">
        <f t="shared" si="3"/>
        <v>273200</v>
      </c>
      <c r="O37" s="10" t="s">
        <v>56</v>
      </c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s="6" customFormat="1" ht="25.5" customHeight="1">
      <c r="A38" s="10" t="s">
        <v>6</v>
      </c>
      <c r="B38" s="11"/>
      <c r="C38" s="11"/>
      <c r="D38" s="11"/>
      <c r="E38" s="11"/>
      <c r="F38" s="11"/>
      <c r="G38" s="11"/>
      <c r="H38" s="11"/>
      <c r="I38" s="11">
        <v>83850</v>
      </c>
      <c r="J38" s="11"/>
      <c r="K38" s="11"/>
      <c r="L38" s="11"/>
      <c r="M38" s="11"/>
      <c r="N38" s="16">
        <f t="shared" si="3"/>
        <v>83850</v>
      </c>
      <c r="O38" s="10" t="s">
        <v>6</v>
      </c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s="15" customFormat="1" ht="25.5" customHeight="1">
      <c r="A39" s="14" t="s">
        <v>2</v>
      </c>
      <c r="B39" s="13">
        <f aca="true" t="shared" si="7" ref="B39:G39">B40+B44</f>
        <v>0</v>
      </c>
      <c r="C39" s="13">
        <f t="shared" si="7"/>
        <v>0</v>
      </c>
      <c r="D39" s="13">
        <f>D40+D44+D42</f>
        <v>28000</v>
      </c>
      <c r="E39" s="13">
        <f>E40+E44+E42</f>
        <v>0</v>
      </c>
      <c r="F39" s="13">
        <f t="shared" si="7"/>
        <v>0</v>
      </c>
      <c r="G39" s="13">
        <f t="shared" si="7"/>
        <v>0</v>
      </c>
      <c r="H39" s="13">
        <f>H40+H44+H41</f>
        <v>0</v>
      </c>
      <c r="I39" s="13">
        <f>I40+I44+I41+I42+I43</f>
        <v>94324</v>
      </c>
      <c r="J39" s="13">
        <f>J40+J44+J41+J42</f>
        <v>0</v>
      </c>
      <c r="K39" s="13">
        <f>K40+K44+K41</f>
        <v>0</v>
      </c>
      <c r="L39" s="13">
        <f>L40+L44+L41</f>
        <v>0</v>
      </c>
      <c r="M39" s="13">
        <f>M40+M41+M42+M43+M44</f>
        <v>128608.01999999999</v>
      </c>
      <c r="N39" s="16">
        <f t="shared" si="3"/>
        <v>250932.02</v>
      </c>
      <c r="O39" s="14" t="s">
        <v>2</v>
      </c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8.5" customHeight="1">
      <c r="A40" s="10" t="s">
        <v>7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>
        <f>29811+35114.7</f>
        <v>64925.7</v>
      </c>
      <c r="N40" s="16">
        <f t="shared" si="3"/>
        <v>64925.7</v>
      </c>
      <c r="O40" s="10" t="s">
        <v>7</v>
      </c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8.5" customHeight="1">
      <c r="A41" s="10" t="s">
        <v>37</v>
      </c>
      <c r="B41" s="11"/>
      <c r="C41" s="11"/>
      <c r="D41" s="11"/>
      <c r="E41" s="11"/>
      <c r="F41" s="11"/>
      <c r="G41" s="11"/>
      <c r="H41" s="11"/>
      <c r="I41" s="11">
        <v>90424</v>
      </c>
      <c r="J41" s="11"/>
      <c r="K41" s="11"/>
      <c r="L41" s="11"/>
      <c r="M41" s="11"/>
      <c r="N41" s="16">
        <f t="shared" si="3"/>
        <v>90424</v>
      </c>
      <c r="O41" s="10" t="s">
        <v>37</v>
      </c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8.5" customHeight="1">
      <c r="A42" s="10" t="s">
        <v>39</v>
      </c>
      <c r="B42" s="11"/>
      <c r="C42" s="11"/>
      <c r="D42" s="11">
        <v>28000</v>
      </c>
      <c r="E42" s="11"/>
      <c r="F42" s="11"/>
      <c r="G42" s="11"/>
      <c r="H42" s="11"/>
      <c r="I42" s="11"/>
      <c r="J42" s="11"/>
      <c r="K42" s="11"/>
      <c r="L42" s="11"/>
      <c r="M42" s="11">
        <f>3520+5600+1600+4130</f>
        <v>14850</v>
      </c>
      <c r="N42" s="16">
        <f t="shared" si="3"/>
        <v>42850</v>
      </c>
      <c r="O42" s="10" t="s">
        <v>39</v>
      </c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8">
      <c r="A43" s="10" t="s">
        <v>51</v>
      </c>
      <c r="B43" s="11"/>
      <c r="C43" s="11"/>
      <c r="D43" s="11"/>
      <c r="E43" s="11"/>
      <c r="F43" s="11"/>
      <c r="G43" s="11"/>
      <c r="H43" s="11"/>
      <c r="I43" s="11">
        <v>3900</v>
      </c>
      <c r="J43" s="11"/>
      <c r="K43" s="11"/>
      <c r="L43" s="11"/>
      <c r="M43" s="11"/>
      <c r="N43" s="16">
        <f t="shared" si="3"/>
        <v>3900</v>
      </c>
      <c r="O43" s="10" t="s">
        <v>51</v>
      </c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5.5" customHeight="1">
      <c r="A44" s="10" t="s">
        <v>25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>
        <v>48832.32</v>
      </c>
      <c r="N44" s="16">
        <f t="shared" si="3"/>
        <v>48832.32</v>
      </c>
      <c r="O44" s="10" t="s">
        <v>25</v>
      </c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s="15" customFormat="1" ht="34.5" customHeight="1">
      <c r="A45" s="14" t="s">
        <v>3</v>
      </c>
      <c r="B45" s="13">
        <f>B5+B11+B14+B15+B16+B19+B31+B39</f>
        <v>378682.6</v>
      </c>
      <c r="C45" s="13">
        <f aca="true" t="shared" si="8" ref="C45:M45">C5+C11+C14+C15+C16+C19+C31+C39</f>
        <v>893731.17</v>
      </c>
      <c r="D45" s="13">
        <f t="shared" si="8"/>
        <v>830373.4400000001</v>
      </c>
      <c r="E45" s="13">
        <f t="shared" si="8"/>
        <v>1067212.79</v>
      </c>
      <c r="F45" s="13">
        <f t="shared" si="8"/>
        <v>849999.9999999999</v>
      </c>
      <c r="G45" s="13">
        <f t="shared" si="8"/>
        <v>2030000.0000000002</v>
      </c>
      <c r="H45" s="13">
        <f t="shared" si="8"/>
        <v>579999.9999999999</v>
      </c>
      <c r="I45" s="13">
        <f t="shared" si="8"/>
        <v>410000</v>
      </c>
      <c r="J45" s="13">
        <f t="shared" si="8"/>
        <v>540000</v>
      </c>
      <c r="K45" s="13">
        <f>K5+K11+K14+K15+K16+K19+K31+K39</f>
        <v>539999.9999999999</v>
      </c>
      <c r="L45" s="13">
        <f t="shared" si="8"/>
        <v>780737.96</v>
      </c>
      <c r="M45" s="13">
        <f t="shared" si="8"/>
        <v>2235362.0399999996</v>
      </c>
      <c r="N45" s="16">
        <f t="shared" si="3"/>
        <v>11136100</v>
      </c>
      <c r="O45" s="14" t="s">
        <v>3</v>
      </c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s="15" customFormat="1" ht="45" customHeight="1">
      <c r="A46" s="20" t="s">
        <v>33</v>
      </c>
      <c r="B46" s="13">
        <v>880000</v>
      </c>
      <c r="C46" s="13">
        <v>810000</v>
      </c>
      <c r="D46" s="13">
        <f>810000</f>
        <v>810000</v>
      </c>
      <c r="E46" s="13">
        <f>820000</f>
        <v>820000</v>
      </c>
      <c r="F46" s="19">
        <v>1400000</v>
      </c>
      <c r="G46" s="13">
        <f>2700000</f>
        <v>2700000</v>
      </c>
      <c r="H46" s="13">
        <v>210000</v>
      </c>
      <c r="I46" s="13">
        <v>110000</v>
      </c>
      <c r="J46" s="13">
        <v>50000</v>
      </c>
      <c r="K46" s="13">
        <v>510000</v>
      </c>
      <c r="L46" s="13">
        <v>910000</v>
      </c>
      <c r="M46" s="13">
        <f>1926100</f>
        <v>1926100</v>
      </c>
      <c r="N46" s="16">
        <f t="shared" si="3"/>
        <v>11136100</v>
      </c>
      <c r="O46" s="20" t="s">
        <v>33</v>
      </c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s="15" customFormat="1" ht="39" customHeight="1">
      <c r="A47" s="20" t="s">
        <v>34</v>
      </c>
      <c r="B47" s="13">
        <f>B46-B45</f>
        <v>501317.4</v>
      </c>
      <c r="C47" s="13">
        <f aca="true" t="shared" si="9" ref="C47:M47">B47+C46-C45</f>
        <v>417586.22999999986</v>
      </c>
      <c r="D47" s="13">
        <f t="shared" si="9"/>
        <v>397212.7899999999</v>
      </c>
      <c r="E47" s="13">
        <f t="shared" si="9"/>
        <v>150000</v>
      </c>
      <c r="F47" s="13">
        <f t="shared" si="9"/>
        <v>700000.0000000001</v>
      </c>
      <c r="G47" s="13">
        <f t="shared" si="9"/>
        <v>1369999.9999999998</v>
      </c>
      <c r="H47" s="13">
        <f t="shared" si="9"/>
        <v>999999.9999999999</v>
      </c>
      <c r="I47" s="13">
        <f>H47+I46-I45</f>
        <v>700000</v>
      </c>
      <c r="J47" s="13">
        <f t="shared" si="9"/>
        <v>210000</v>
      </c>
      <c r="K47" s="13">
        <f>J47+K46-K45</f>
        <v>180000.00000000012</v>
      </c>
      <c r="L47" s="13">
        <f t="shared" si="9"/>
        <v>309262.04000000004</v>
      </c>
      <c r="M47" s="13">
        <f t="shared" si="9"/>
        <v>0</v>
      </c>
      <c r="N47" s="16">
        <f>N46-N45</f>
        <v>0</v>
      </c>
      <c r="O47" s="20" t="s">
        <v>34</v>
      </c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" ht="18">
      <c r="A48" s="7" t="s">
        <v>14</v>
      </c>
      <c r="B48" s="3" t="s">
        <v>15</v>
      </c>
    </row>
    <row r="49" ht="18">
      <c r="D49" s="18"/>
    </row>
    <row r="50" spans="1:2" ht="18">
      <c r="A50" s="7" t="s">
        <v>16</v>
      </c>
      <c r="B50" s="3" t="s">
        <v>17</v>
      </c>
    </row>
    <row r="52" ht="18">
      <c r="N52" s="3">
        <f>380000-N47</f>
        <v>380000</v>
      </c>
    </row>
    <row r="53" ht="18">
      <c r="F53" s="3">
        <f>700000-F47</f>
        <v>0</v>
      </c>
    </row>
  </sheetData>
  <sheetProtection/>
  <mergeCells count="2">
    <mergeCell ref="A2:B2"/>
    <mergeCell ref="A1:B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2018-12-03T07:16:47Z</cp:lastPrinted>
  <dcterms:created xsi:type="dcterms:W3CDTF">1996-10-08T23:32:33Z</dcterms:created>
  <dcterms:modified xsi:type="dcterms:W3CDTF">2019-01-09T13:00:44Z</dcterms:modified>
  <cp:category/>
  <cp:version/>
  <cp:contentType/>
  <cp:contentStatus/>
</cp:coreProperties>
</file>