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'!$A$1:$N$88</definedName>
  </definedNames>
  <calcPr fullCalcOnLoad="1"/>
</workbook>
</file>

<file path=xl/sharedStrings.xml><?xml version="1.0" encoding="utf-8"?>
<sst xmlns="http://schemas.openxmlformats.org/spreadsheetml/2006/main" count="177" uniqueCount="102">
  <si>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</si>
  <si>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</si>
  <si>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</si>
  <si>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</si>
  <si>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</si>
  <si>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</si>
  <si>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</si>
  <si>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</si>
  <si>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</si>
  <si>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</si>
  <si>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</si>
  <si>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</si>
  <si>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</si>
  <si>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</si>
  <si>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</si>
  <si>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</si>
  <si>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</si>
  <si>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</si>
  <si>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</si>
  <si>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транспортный налог</t>
  </si>
  <si>
    <t>земельный налог</t>
  </si>
  <si>
    <t>пени, штрафы</t>
  </si>
  <si>
    <t>оформ лицензии</t>
  </si>
  <si>
    <t>страхование атотрансп</t>
  </si>
  <si>
    <t>пож.технич.минимум</t>
  </si>
  <si>
    <t>налог за загрязнение окр.среды</t>
  </si>
  <si>
    <t>ГСМ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</si>
  <si>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</si>
  <si>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</si>
  <si>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</si>
  <si>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</si>
  <si>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</si>
  <si>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</si>
  <si>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</si>
  <si>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</si>
  <si>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</si>
  <si>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</si>
  <si>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зап.части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</si>
  <si>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</si>
  <si>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</si>
  <si>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</si>
  <si>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</si>
  <si>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</si>
  <si>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</si>
  <si>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</si>
  <si>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</si>
  <si>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</si>
  <si>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</si>
  <si>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</si>
  <si>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</si>
  <si>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</si>
  <si>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</si>
  <si>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</si>
  <si>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</si>
  <si>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огнезащ.обраб.дер.констр.</t>
  </si>
  <si>
    <t>гидравлич.испытания трубопровода</t>
  </si>
  <si>
    <t>вода питьевая</t>
  </si>
  <si>
    <t>Финансирование</t>
  </si>
  <si>
    <t>Остаток на л/счете</t>
  </si>
  <si>
    <t>молоко</t>
  </si>
  <si>
    <t>тех.обслуживание тахографа</t>
  </si>
  <si>
    <t xml:space="preserve">тех.обслуживание АПС </t>
  </si>
  <si>
    <t>эл.счетчик трехфазный</t>
  </si>
  <si>
    <t>контейнер для мусора</t>
  </si>
  <si>
    <t>переподготовка водителя</t>
  </si>
  <si>
    <t>бездог.потр. Эл.энерг</t>
  </si>
  <si>
    <t>тестирование ЕГЭ 9 и 11 кл</t>
  </si>
  <si>
    <t>гиг.обучение</t>
  </si>
  <si>
    <t>ремонт водопровода</t>
  </si>
  <si>
    <t>Спутник "безоп.колесо"</t>
  </si>
  <si>
    <t>обслуживание водеонаблюденич</t>
  </si>
  <si>
    <t>обучение механика и отв.за подвоз</t>
  </si>
  <si>
    <t>моющие и хрзтовары</t>
  </si>
  <si>
    <t>224 аренда трансп.услуги</t>
  </si>
  <si>
    <t>ремонт автобуса</t>
  </si>
  <si>
    <t>светильники и др.эл.товары</t>
  </si>
  <si>
    <t>обучение охрана труда</t>
  </si>
  <si>
    <t>огнетушители, пож.щит</t>
  </si>
  <si>
    <t>з/части на стол.оборуд.</t>
  </si>
  <si>
    <t>бумага в бух</t>
  </si>
  <si>
    <t>медтехника</t>
  </si>
  <si>
    <t>з/плата гарантированная</t>
  </si>
  <si>
    <t>премии</t>
  </si>
  <si>
    <t>калибровка тахографа</t>
  </si>
  <si>
    <t>обучение 44-ФЗ</t>
  </si>
  <si>
    <t>обучение 1-я мед.помощь</t>
  </si>
  <si>
    <t>паспортизация отходов</t>
  </si>
  <si>
    <t>611 заработная плата  211</t>
  </si>
  <si>
    <t>611 начисления на з/плату 213</t>
  </si>
  <si>
    <t>211+213</t>
  </si>
  <si>
    <t>установка вод.счетчика</t>
  </si>
  <si>
    <t>огнезащита одежды сцены</t>
  </si>
  <si>
    <t>отщип (Лаб.испытания огнезащиты)</t>
  </si>
  <si>
    <t>утилизация люм.ламп</t>
  </si>
  <si>
    <t>611 з/п</t>
  </si>
  <si>
    <t>комфорт условия</t>
  </si>
  <si>
    <t>карта водителя на тахограф + тахограф</t>
  </si>
  <si>
    <t>установка тахографа</t>
  </si>
  <si>
    <t>тахограф</t>
  </si>
  <si>
    <t>сайт школы</t>
  </si>
  <si>
    <t>ремонт АПС</t>
  </si>
  <si>
    <t>Информация о расходовании средств местного бюджета за январь-декабрь 2017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</si>
</sst>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wrapText="1"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view="pageBreakPreview" zoomScale="75" zoomScaleSheetLayoutView="75" zoomScalePageLayoutView="0" workbookViewId="0" topLeftCell="E1">
      <selection activeCell="M7" sqref="M7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19.00390625" style="3" customWidth="1"/>
    <col min="4" max="4" width="19.28125" style="3" customWidth="1"/>
    <col min="5" max="5" width="20.57421875" style="3" customWidth="1"/>
    <col min="6" max="6" width="21.28125" style="3" customWidth="1"/>
    <col min="7" max="7" width="17.8515625" style="3" customWidth="1"/>
    <col min="8" max="8" width="17.140625" style="3" customWidth="1"/>
    <col min="9" max="9" width="17.28125" style="3" customWidth="1"/>
    <col min="10" max="10" width="18.8515625" style="3" customWidth="1"/>
    <col min="11" max="11" width="18.7109375" style="3" customWidth="1"/>
    <col min="12" max="12" width="18.28125" style="3" customWidth="1"/>
    <col min="13" max="13" width="19.7109375" style="3" customWidth="1"/>
    <col min="14" max="14" width="22.7109375" style="3" customWidth="1"/>
    <col min="15" max="15" width="34.42187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45" t="s">
        <v>101</v>
      </c>
      <c r="B1" s="4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3" t="s">
        <v>30</v>
      </c>
      <c r="B2" s="4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1" t="s">
        <v>94</v>
      </c>
      <c r="P2" s="26"/>
      <c r="Q2" s="26"/>
      <c r="R2" s="26"/>
    </row>
    <row r="3" spans="1:25" s="4" customFormat="1" ht="21" customHeight="1">
      <c r="A3" s="8"/>
      <c r="B3" s="15" t="s">
        <v>31</v>
      </c>
      <c r="C3" s="15" t="s">
        <v>38</v>
      </c>
      <c r="D3" s="15" t="s">
        <v>39</v>
      </c>
      <c r="E3" s="15" t="s">
        <v>40</v>
      </c>
      <c r="F3" s="15" t="s">
        <v>41</v>
      </c>
      <c r="G3" s="15" t="s">
        <v>43</v>
      </c>
      <c r="H3" s="15" t="s">
        <v>45</v>
      </c>
      <c r="I3" s="15" t="s">
        <v>46</v>
      </c>
      <c r="J3" s="15" t="s">
        <v>47</v>
      </c>
      <c r="K3" s="15" t="s">
        <v>48</v>
      </c>
      <c r="L3" s="15" t="s">
        <v>49</v>
      </c>
      <c r="M3" s="15" t="s">
        <v>50</v>
      </c>
      <c r="N3" s="16" t="s">
        <v>29</v>
      </c>
      <c r="O3" s="39" t="s">
        <v>89</v>
      </c>
      <c r="P3" s="27"/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87</v>
      </c>
      <c r="B4" s="21">
        <f>B5+B6</f>
        <v>60000</v>
      </c>
      <c r="C4" s="21">
        <f aca="true" t="shared" si="0" ref="C4:M4">C5+C6</f>
        <v>90422.99</v>
      </c>
      <c r="D4" s="21">
        <f t="shared" si="0"/>
        <v>64139.77</v>
      </c>
      <c r="E4" s="21">
        <f t="shared" si="0"/>
        <v>91836.3</v>
      </c>
      <c r="F4" s="21">
        <f t="shared" si="0"/>
        <v>122638.1</v>
      </c>
      <c r="G4" s="21">
        <f t="shared" si="0"/>
        <v>102931.22</v>
      </c>
      <c r="H4" s="21">
        <f>H5+H6</f>
        <v>46655.26000000001</v>
      </c>
      <c r="I4" s="21">
        <f t="shared" si="0"/>
        <v>43500</v>
      </c>
      <c r="J4" s="21">
        <f t="shared" si="0"/>
        <v>66277.32</v>
      </c>
      <c r="K4" s="21">
        <f t="shared" si="0"/>
        <v>58453.28</v>
      </c>
      <c r="L4" s="21">
        <f t="shared" si="0"/>
        <v>55000</v>
      </c>
      <c r="M4" s="21">
        <f t="shared" si="0"/>
        <v>141126.58000000002</v>
      </c>
      <c r="N4" s="23">
        <f>B4+C4+D4+E4+F4+G4+H4+I4+J4+K4+L4+M4</f>
        <v>942980.8200000001</v>
      </c>
      <c r="O4" s="40">
        <f>N4+N7</f>
        <v>1221000</v>
      </c>
      <c r="P4" s="27"/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22" t="s">
        <v>81</v>
      </c>
      <c r="B5" s="36">
        <v>60000</v>
      </c>
      <c r="C5" s="37">
        <f>11077+16926.3+62419.69</f>
        <v>90422.99</v>
      </c>
      <c r="D5" s="37">
        <f>15232.57+9492+39415.2</f>
        <v>64139.77</v>
      </c>
      <c r="E5" s="37">
        <f>10168+7596.11+74072.19</f>
        <v>91836.3</v>
      </c>
      <c r="F5" s="37">
        <f>17620.94+10294+82683.17+12039.99</f>
        <v>122638.1</v>
      </c>
      <c r="G5" s="37">
        <f>23837+18715.83+60378.39</f>
        <v>102931.22</v>
      </c>
      <c r="H5" s="38">
        <f>7194+30341.49+9119.77</f>
        <v>46655.26000000001</v>
      </c>
      <c r="I5" s="38">
        <f>43500</f>
        <v>43500</v>
      </c>
      <c r="J5" s="38">
        <f>1308.6+58271.72+6697</f>
        <v>66277.32</v>
      </c>
      <c r="K5" s="38">
        <f>3800.03+45378.25+9275</f>
        <v>58453.28</v>
      </c>
      <c r="L5" s="38">
        <f>10000+484.93+36207.53+8307.54</f>
        <v>55000</v>
      </c>
      <c r="M5" s="38">
        <f>(22241+1856.01+40753.18+76276.39)-M6</f>
        <v>116574.48000000001</v>
      </c>
      <c r="N5" s="23">
        <f>B5+C5+D5+E5+F5+G5+H5+I5+J5+K5+L5+M5</f>
        <v>918428.72</v>
      </c>
      <c r="O5" s="28"/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22" t="s">
        <v>82</v>
      </c>
      <c r="B6" s="36"/>
      <c r="C6" s="37"/>
      <c r="D6" s="37"/>
      <c r="E6" s="37"/>
      <c r="F6" s="37"/>
      <c r="G6" s="37"/>
      <c r="H6" s="38"/>
      <c r="I6" s="38"/>
      <c r="J6" s="38"/>
      <c r="K6" s="38"/>
      <c r="L6" s="38"/>
      <c r="M6" s="38">
        <f>7460+3969.6+2777+2885.5+7460</f>
        <v>24552.1</v>
      </c>
      <c r="N6" s="23">
        <f>B6+C6+D6+E6+F6+G6+H6+I6+J6+K6+L6+M6</f>
        <v>24552.1</v>
      </c>
      <c r="O6" s="28"/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88</v>
      </c>
      <c r="B7" s="37"/>
      <c r="C7" s="37">
        <f>176.01+2552.1+4488.17+19360.73</f>
        <v>26577.01</v>
      </c>
      <c r="D7" s="37">
        <f>177.88+2579.29+4536+19567.06</f>
        <v>26860.230000000003</v>
      </c>
      <c r="E7" s="37">
        <f>173.27+2512.41+4418.37+19059.65</f>
        <v>26163.7</v>
      </c>
      <c r="F7" s="37">
        <f>141.47+2051.31+3607.47+15561.65</f>
        <v>21361.9</v>
      </c>
      <c r="G7" s="37">
        <f>377.94+5480.11+9637.45+41573.28</f>
        <v>57068.78</v>
      </c>
      <c r="H7" s="38">
        <f>110.68+1604.87+2822.35+5506.84</f>
        <v>10044.74</v>
      </c>
      <c r="I7" s="38">
        <v>8500</v>
      </c>
      <c r="J7" s="38">
        <f>103.01+1493.66+2626.78+9499.23</f>
        <v>13722.68</v>
      </c>
      <c r="K7" s="38">
        <f>142.69+2069.05+3638.69+15696.29</f>
        <v>21546.72</v>
      </c>
      <c r="L7" s="38">
        <f>200+2500+4300+18000</f>
        <v>25000</v>
      </c>
      <c r="M7" s="38">
        <f>281.47+4481.33+7977.51+28433.11</f>
        <v>41173.42</v>
      </c>
      <c r="N7" s="23">
        <f aca="true" t="shared" si="1" ref="N7:N39">B7+C7+D7+E7+F7+G7+H7+I7+J7+K7+L7+M7</f>
        <v>278019.18</v>
      </c>
      <c r="O7" s="39"/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7"/>
      <c r="C8" s="37"/>
      <c r="D8" s="37"/>
      <c r="E8" s="37"/>
      <c r="F8" s="37"/>
      <c r="G8" s="37"/>
      <c r="H8" s="38"/>
      <c r="I8" s="38"/>
      <c r="J8" s="38"/>
      <c r="K8" s="38"/>
      <c r="L8" s="38"/>
      <c r="M8" s="42"/>
      <c r="N8" s="23">
        <f t="shared" si="1"/>
        <v>0</v>
      </c>
      <c r="O8" s="39"/>
      <c r="P8" s="28"/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f>590+2837.84</f>
        <v>3427.84</v>
      </c>
      <c r="D9" s="12">
        <v>1426.62</v>
      </c>
      <c r="E9" s="12">
        <v>3026.23</v>
      </c>
      <c r="F9" s="12">
        <f>1700.21</f>
        <v>1700.21</v>
      </c>
      <c r="G9" s="12">
        <f>1500+1766.05</f>
        <v>3266.05</v>
      </c>
      <c r="H9" s="12">
        <f>1500+1895.91</f>
        <v>3395.91</v>
      </c>
      <c r="I9" s="12">
        <v>1605.1</v>
      </c>
      <c r="J9" s="12">
        <v>943</v>
      </c>
      <c r="K9" s="12">
        <f>1500+2269.02</f>
        <v>3769.02</v>
      </c>
      <c r="L9" s="12">
        <v>4050.47</v>
      </c>
      <c r="M9" s="12">
        <f>2470.21+2500+1500</f>
        <v>6470.21</v>
      </c>
      <c r="N9" s="17">
        <f t="shared" si="1"/>
        <v>33080.66</v>
      </c>
      <c r="O9" s="39" t="s">
        <v>95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 aca="true" t="shared" si="2" ref="B10:L10">B11+B13+B14+B15</f>
        <v>12.47</v>
      </c>
      <c r="C10" s="12">
        <f t="shared" si="2"/>
        <v>252582.6</v>
      </c>
      <c r="D10" s="12">
        <f t="shared" si="2"/>
        <v>194689.00999999998</v>
      </c>
      <c r="E10" s="12">
        <f>E11+E13+E14+E15</f>
        <v>136861.52</v>
      </c>
      <c r="F10" s="12">
        <f>F11+F13+F14+F15</f>
        <v>101833.43</v>
      </c>
      <c r="G10" s="12">
        <f t="shared" si="2"/>
        <v>31356.55</v>
      </c>
      <c r="H10" s="12">
        <f t="shared" si="2"/>
        <v>8896.08</v>
      </c>
      <c r="I10" s="12">
        <f t="shared" si="2"/>
        <v>3488.2599999999998</v>
      </c>
      <c r="J10" s="12">
        <f t="shared" si="2"/>
        <v>5084.91</v>
      </c>
      <c r="K10" s="12">
        <f t="shared" si="2"/>
        <v>11432.109999999999</v>
      </c>
      <c r="L10" s="12">
        <f t="shared" si="2"/>
        <v>94228.86</v>
      </c>
      <c r="M10" s="12">
        <f>M11+M13+M14+M15+M12</f>
        <v>430518.07999999996</v>
      </c>
      <c r="N10" s="17">
        <f t="shared" si="1"/>
        <v>1270983.88</v>
      </c>
      <c r="O10" s="40">
        <f>N9+N10+N17+N36+N58+N66+N72</f>
        <v>2551100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v>12.47</v>
      </c>
      <c r="C11" s="10">
        <f>9581.6+12743.53+6180+8237.69</f>
        <v>36742.82</v>
      </c>
      <c r="D11" s="10">
        <f>3840.77+6335.93+8452.86</f>
        <v>18629.56</v>
      </c>
      <c r="E11" s="10">
        <f>2583.98+5682.28+4992.4+2583.98</f>
        <v>15842.64</v>
      </c>
      <c r="F11" s="10">
        <f>3997.27+5178.24+6899.44</f>
        <v>16074.95</v>
      </c>
      <c r="G11" s="10">
        <f>4677.19+5012.69+6678.95</f>
        <v>16368.829999999998</v>
      </c>
      <c r="H11" s="10">
        <f>3460.26+4616.1</f>
        <v>8076.360000000001</v>
      </c>
      <c r="I11" s="10">
        <f>1208.23+1610.97</f>
        <v>2819.2</v>
      </c>
      <c r="J11" s="10">
        <f>687.73+922+4.48+6.01+2312.42</f>
        <v>3932.6400000000003</v>
      </c>
      <c r="K11" s="10">
        <f>692.21+928.01+1727.2+4652.48+1871.07</f>
        <v>9870.97</v>
      </c>
      <c r="L11" s="10">
        <f>4294.02+5168.45</f>
        <v>9462.470000000001</v>
      </c>
      <c r="M11" s="10">
        <f>3878.48+27903.03+14149.65+349.63+26150.37</f>
        <v>72431.15999999999</v>
      </c>
      <c r="N11" s="17">
        <f t="shared" si="1"/>
        <v>210264.07</v>
      </c>
      <c r="O11" s="9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65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7">
        <f t="shared" si="1"/>
        <v>0</v>
      </c>
      <c r="O12" s="9" t="s">
        <v>65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42</v>
      </c>
      <c r="B13" s="10"/>
      <c r="C13" s="10">
        <v>214770.58</v>
      </c>
      <c r="D13" s="10">
        <v>175346.65</v>
      </c>
      <c r="E13" s="10">
        <v>118880.48</v>
      </c>
      <c r="F13" s="10">
        <v>82693.44</v>
      </c>
      <c r="G13" s="10"/>
      <c r="H13" s="10"/>
      <c r="I13" s="10"/>
      <c r="J13" s="10"/>
      <c r="K13" s="10"/>
      <c r="L13" s="10">
        <v>83168.08</v>
      </c>
      <c r="M13" s="10">
        <f>139409.38+200512.46</f>
        <v>339921.83999999997</v>
      </c>
      <c r="N13" s="17">
        <f t="shared" si="1"/>
        <v>1014781.0699999998</v>
      </c>
      <c r="O13" s="9" t="s">
        <v>42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1069.2</v>
      </c>
      <c r="D14" s="10">
        <v>712.8</v>
      </c>
      <c r="E14" s="10">
        <v>2138.4</v>
      </c>
      <c r="F14" s="10">
        <v>3065.04</v>
      </c>
      <c r="G14" s="10">
        <v>1283.04</v>
      </c>
      <c r="H14" s="10">
        <v>819.72</v>
      </c>
      <c r="I14" s="10">
        <v>669.06</v>
      </c>
      <c r="J14" s="10">
        <v>1152.27</v>
      </c>
      <c r="K14" s="10">
        <v>1561.14</v>
      </c>
      <c r="L14" s="10">
        <v>1598.31</v>
      </c>
      <c r="M14" s="10">
        <f>2601.9+1858.5</f>
        <v>4460.4</v>
      </c>
      <c r="N14" s="17">
        <f t="shared" si="1"/>
        <v>18529.379999999997</v>
      </c>
      <c r="O14" s="9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>
        <v>13704.68</v>
      </c>
      <c r="H15" s="10"/>
      <c r="I15" s="10"/>
      <c r="J15" s="10"/>
      <c r="K15" s="10"/>
      <c r="L15" s="10"/>
      <c r="M15" s="10">
        <v>13704.68</v>
      </c>
      <c r="N15" s="17">
        <f t="shared" si="1"/>
        <v>27409.36</v>
      </c>
      <c r="O15" s="9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73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30" t="s">
        <v>73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3" t="s">
        <v>0</v>
      </c>
      <c r="B17" s="34">
        <f>B18+B19+B20+B21+B22+B23+B24+B25+B26+B27+B28+B29+B30+B31+B32+B35</f>
        <v>0</v>
      </c>
      <c r="C17" s="34">
        <f>C18+C19+C20+C21+C22+C23+C24+C25+C26+C27+C28+C29+C30+C31+C32+C35+C33</f>
        <v>14757.369999999999</v>
      </c>
      <c r="D17" s="34">
        <f>D18+D19+D20+D21+D22+D23+D24+D25+D26+D27+D28+D29+D30+D31+D32+D35+D34</f>
        <v>0</v>
      </c>
      <c r="E17" s="34">
        <f>E18+E19+E20+E21+E22+E23+E24+E25+E26+E27+E28+E29+E30+E31+E32+E35+E33</f>
        <v>9273.550000000001</v>
      </c>
      <c r="F17" s="34">
        <f>F18+F19+F20+F21+F22+F23+F24+F25+F26+F27+F28+F29+F30+F31+F32+F35</f>
        <v>23000.15</v>
      </c>
      <c r="G17" s="34">
        <f aca="true" t="shared" si="3" ref="G17:L17">G18+G19+G20+G21+G22+G23+G24+G25+G26+G27+G28+G29+G30+G31+G32+G35</f>
        <v>43383.649999999994</v>
      </c>
      <c r="H17" s="34">
        <f t="shared" si="3"/>
        <v>41340.54</v>
      </c>
      <c r="I17" s="34">
        <f>I18+I19+I20+I21+I22+I23+I24+I25+I26+I27+I28+I29+I30+I31+I32+I35+I34</f>
        <v>1513.76</v>
      </c>
      <c r="J17" s="34">
        <f t="shared" si="3"/>
        <v>20484.239999999998</v>
      </c>
      <c r="K17" s="34">
        <f t="shared" si="3"/>
        <v>24944</v>
      </c>
      <c r="L17" s="34">
        <f t="shared" si="3"/>
        <v>1172</v>
      </c>
      <c r="M17" s="34">
        <f>M18+M19+M20+M21+M22+M23+M24+M25+M26+M27+M28+M29+M30+M31+M32+M35+M33+M34</f>
        <v>50984.16</v>
      </c>
      <c r="N17" s="32">
        <f t="shared" si="1"/>
        <v>230853.42</v>
      </c>
      <c r="O17" s="33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9</v>
      </c>
      <c r="B18" s="10"/>
      <c r="C18" s="10">
        <v>540.95</v>
      </c>
      <c r="D18" s="10"/>
      <c r="E18" s="10">
        <f>540.95+449</f>
        <v>989.95</v>
      </c>
      <c r="F18" s="10"/>
      <c r="G18" s="10">
        <f>449*2</f>
        <v>898</v>
      </c>
      <c r="H18" s="10">
        <v>449</v>
      </c>
      <c r="I18" s="10">
        <v>449</v>
      </c>
      <c r="J18" s="10">
        <v>449</v>
      </c>
      <c r="K18" s="10">
        <v>449</v>
      </c>
      <c r="L18" s="10">
        <v>449</v>
      </c>
      <c r="M18" s="10">
        <f>449*2</f>
        <v>898</v>
      </c>
      <c r="N18" s="17">
        <f t="shared" si="1"/>
        <v>5571.9</v>
      </c>
      <c r="O18" s="9" t="s">
        <v>9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10</v>
      </c>
      <c r="B19" s="10"/>
      <c r="C19" s="10">
        <v>4141.8</v>
      </c>
      <c r="D19" s="10"/>
      <c r="E19" s="10">
        <f>4141.8*2</f>
        <v>8283.6</v>
      </c>
      <c r="F19" s="10"/>
      <c r="G19" s="10">
        <f>4425*2+4141.8</f>
        <v>12991.8</v>
      </c>
      <c r="H19" s="10">
        <v>4425</v>
      </c>
      <c r="I19" s="10"/>
      <c r="J19" s="10">
        <f>4425*2</f>
        <v>8850</v>
      </c>
      <c r="K19" s="10">
        <v>4425</v>
      </c>
      <c r="L19" s="10"/>
      <c r="M19" s="10">
        <f>4141.8*2</f>
        <v>8283.6</v>
      </c>
      <c r="N19" s="17">
        <f t="shared" si="1"/>
        <v>51400.799999999996</v>
      </c>
      <c r="O19" s="9" t="s">
        <v>10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11</v>
      </c>
      <c r="B20" s="10"/>
      <c r="C20" s="10"/>
      <c r="D20" s="10"/>
      <c r="E20" s="10"/>
      <c r="F20" s="10"/>
      <c r="G20" s="10">
        <f>3304*2</f>
        <v>6608</v>
      </c>
      <c r="H20" s="10"/>
      <c r="I20" s="10">
        <v>1064.76</v>
      </c>
      <c r="J20" s="10">
        <v>2239.24</v>
      </c>
      <c r="K20" s="10"/>
      <c r="L20" s="10"/>
      <c r="M20" s="10"/>
      <c r="N20" s="17">
        <f t="shared" si="1"/>
        <v>9912</v>
      </c>
      <c r="O20" s="9" t="s">
        <v>11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100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2178</v>
      </c>
      <c r="L21" s="10"/>
      <c r="M21" s="10"/>
      <c r="N21" s="17">
        <f t="shared" si="1"/>
        <v>2178</v>
      </c>
      <c r="O21" s="9" t="s">
        <v>100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9" t="s">
        <v>12</v>
      </c>
      <c r="B22" s="10"/>
      <c r="C22" s="10"/>
      <c r="D22" s="10"/>
      <c r="E22" s="10"/>
      <c r="F22" s="10"/>
      <c r="G22" s="10">
        <v>723</v>
      </c>
      <c r="H22" s="10"/>
      <c r="I22" s="10"/>
      <c r="J22" s="10"/>
      <c r="K22" s="10"/>
      <c r="L22" s="10">
        <v>723</v>
      </c>
      <c r="M22" s="10">
        <v>1000</v>
      </c>
      <c r="N22" s="17">
        <f t="shared" si="1"/>
        <v>2446</v>
      </c>
      <c r="O22" s="9" t="s">
        <v>12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9" t="s">
        <v>13</v>
      </c>
      <c r="B23" s="10"/>
      <c r="C23" s="10">
        <v>1128.62</v>
      </c>
      <c r="D23" s="10"/>
      <c r="E23" s="10"/>
      <c r="F23" s="10">
        <f>5108.15</f>
        <v>5108.15</v>
      </c>
      <c r="G23" s="10">
        <f>564.31*2+1941.77</f>
        <v>3070.39</v>
      </c>
      <c r="H23" s="10"/>
      <c r="I23" s="10"/>
      <c r="J23" s="10"/>
      <c r="K23" s="10"/>
      <c r="L23" s="10"/>
      <c r="M23" s="10">
        <v>22910.56</v>
      </c>
      <c r="N23" s="17">
        <f t="shared" si="1"/>
        <v>32217.72</v>
      </c>
      <c r="O23" s="9" t="s">
        <v>13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9" t="s">
        <v>51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7">
        <f t="shared" si="1"/>
        <v>0</v>
      </c>
      <c r="O24" s="9" t="s">
        <v>51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9" t="s">
        <v>53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7">
        <f t="shared" si="1"/>
        <v>0</v>
      </c>
      <c r="O25" s="9" t="s">
        <v>53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customHeight="1">
      <c r="A26" s="9" t="s">
        <v>55</v>
      </c>
      <c r="B26" s="10"/>
      <c r="C26" s="10"/>
      <c r="D26" s="10"/>
      <c r="E26" s="10"/>
      <c r="F26" s="10"/>
      <c r="G26" s="10">
        <v>1200.46</v>
      </c>
      <c r="H26" s="10">
        <v>7059.54</v>
      </c>
      <c r="I26" s="10"/>
      <c r="J26" s="10"/>
      <c r="K26" s="10"/>
      <c r="L26" s="10"/>
      <c r="M26" s="10"/>
      <c r="N26" s="17">
        <f t="shared" si="1"/>
        <v>8260</v>
      </c>
      <c r="O26" s="9" t="s">
        <v>55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6">
      <c r="A27" s="9" t="s">
        <v>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f t="shared" si="1"/>
        <v>0</v>
      </c>
      <c r="O27" s="9" t="s">
        <v>71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9" t="s">
        <v>54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>
        <f t="shared" si="1"/>
        <v>0</v>
      </c>
      <c r="O28" s="9" t="s">
        <v>54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.75" customHeight="1">
      <c r="A29" s="9" t="s">
        <v>14</v>
      </c>
      <c r="B29" s="10"/>
      <c r="C29" s="10"/>
      <c r="D29" s="10"/>
      <c r="E29" s="10"/>
      <c r="F29" s="10"/>
      <c r="G29" s="10"/>
      <c r="H29" s="10">
        <v>7645</v>
      </c>
      <c r="I29" s="10"/>
      <c r="J29" s="10"/>
      <c r="K29" s="10"/>
      <c r="L29" s="10"/>
      <c r="M29" s="10"/>
      <c r="N29" s="17">
        <f t="shared" si="1"/>
        <v>7645</v>
      </c>
      <c r="O29" s="9" t="s">
        <v>14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9" t="s">
        <v>15</v>
      </c>
      <c r="B30" s="10"/>
      <c r="C30" s="10"/>
      <c r="D30" s="10"/>
      <c r="E30" s="10"/>
      <c r="F30" s="10"/>
      <c r="G30" s="10"/>
      <c r="H30" s="10">
        <v>1470</v>
      </c>
      <c r="I30" s="10"/>
      <c r="J30" s="10"/>
      <c r="K30" s="10"/>
      <c r="L30" s="10"/>
      <c r="M30" s="10"/>
      <c r="N30" s="17">
        <f t="shared" si="1"/>
        <v>1470</v>
      </c>
      <c r="O30" s="9" t="s">
        <v>15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9" t="s">
        <v>90</v>
      </c>
      <c r="B31" s="10"/>
      <c r="C31" s="10"/>
      <c r="D31" s="10"/>
      <c r="E31" s="10"/>
      <c r="F31" s="10"/>
      <c r="G31" s="10"/>
      <c r="H31" s="10">
        <v>2400</v>
      </c>
      <c r="I31" s="10"/>
      <c r="J31" s="10"/>
      <c r="K31" s="10"/>
      <c r="L31" s="10"/>
      <c r="M31" s="10"/>
      <c r="N31" s="17">
        <f t="shared" si="1"/>
        <v>2400</v>
      </c>
      <c r="O31" s="9" t="s">
        <v>90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9" t="s">
        <v>61</v>
      </c>
      <c r="B32" s="10"/>
      <c r="C32" s="10">
        <v>8946</v>
      </c>
      <c r="D32" s="10"/>
      <c r="E32" s="10"/>
      <c r="F32" s="10">
        <f>8946*2</f>
        <v>17892</v>
      </c>
      <c r="G32" s="10">
        <f>8946*2</f>
        <v>17892</v>
      </c>
      <c r="H32" s="10">
        <f>1200.46+7745.54+8946</f>
        <v>17892</v>
      </c>
      <c r="I32" s="10"/>
      <c r="J32" s="10">
        <v>8946</v>
      </c>
      <c r="K32" s="10">
        <f>8946*2</f>
        <v>17892</v>
      </c>
      <c r="L32" s="10"/>
      <c r="M32" s="10">
        <f>8946*2</f>
        <v>17892</v>
      </c>
      <c r="N32" s="17">
        <f t="shared" si="1"/>
        <v>107352</v>
      </c>
      <c r="O32" s="9" t="s">
        <v>61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>
      <c r="A33" s="9" t="s">
        <v>68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1"/>
        <v>0</v>
      </c>
      <c r="O33" s="9" t="s">
        <v>68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1.5" customHeight="1">
      <c r="A34" s="9" t="s">
        <v>60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9" t="s">
        <v>60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>
      <c r="A35" s="9" t="s">
        <v>74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9" t="s">
        <v>74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27" customHeight="1">
      <c r="A36" s="13" t="s">
        <v>1</v>
      </c>
      <c r="B36" s="12">
        <f>B37+B38+B39+B40+B41+B42+B43+B44+B45+B46+B47+B48+B49+B57</f>
        <v>0</v>
      </c>
      <c r="C36" s="12">
        <f>C37+C38+C39+C40+C41+C42+C43+C44+C45+C46+C47+C48+C49+C57</f>
        <v>9280</v>
      </c>
      <c r="D36" s="12">
        <f>D37+D38+D39+D40+D41+D42+D43+D44+D45+D46+D47+D48+D49+D57+D50+D53</f>
        <v>2880</v>
      </c>
      <c r="E36" s="12">
        <f>E37+E38+E39+E40+E41+E42+E43+E44+E45+E46+E47+E48+E49+E57+E50</f>
        <v>0</v>
      </c>
      <c r="F36" s="12">
        <f>F37+F38+F39+F40+F41+F42+F43+F44+F45+F46+F47+F48+F49+F57+F50+F54</f>
        <v>46060</v>
      </c>
      <c r="G36" s="12">
        <f>G37+G38+G39+G40+G41+G42+G43+G44+G45+G46+G47+G48+G49+G57+G50+G51+G52+G54+G55</f>
        <v>37790</v>
      </c>
      <c r="H36" s="12">
        <f>H37+H38+H39+H40+H41+H42+H43+H44+H45+H46+H47+H48+H49+H57+H50</f>
        <v>71342.97</v>
      </c>
      <c r="I36" s="12">
        <f>I37+I38+I39+I40+I41+I42+I43+I44+I45+I46+I47+I48+I49+I57+I50+I54+I56</f>
        <v>19600</v>
      </c>
      <c r="J36" s="12">
        <f>J37+J38+J39+J40+J41+J42+J43+J44+J45+J46+J47+J48+J49+J57+J50+J54</f>
        <v>15332.42</v>
      </c>
      <c r="K36" s="12">
        <f>K37+K38+K39+K40+K41+K42+K43+K44+K45+K46+K47+K48+K49+K57+K50+K54</f>
        <v>13755.24</v>
      </c>
      <c r="L36" s="12">
        <f>L37+L38+L39+L40+L41+L42+L43+L44+L45+L46+L47+L48+L49+L57+L50</f>
        <v>4902.48</v>
      </c>
      <c r="M36" s="12">
        <f>M37+M38+M39+M40+M41+M42+M43+M44+M45+M46+M47+M48+M49+M50+M53+M54+M56+M57</f>
        <v>32706.68</v>
      </c>
      <c r="N36" s="17">
        <f t="shared" si="1"/>
        <v>253649.79</v>
      </c>
      <c r="O36" s="13" t="s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9" t="s">
        <v>16</v>
      </c>
      <c r="B37" s="10"/>
      <c r="C37" s="10"/>
      <c r="D37" s="10"/>
      <c r="E37" s="10"/>
      <c r="F37" s="10"/>
      <c r="G37" s="10"/>
      <c r="H37" s="10">
        <v>30873</v>
      </c>
      <c r="I37" s="10"/>
      <c r="J37" s="10"/>
      <c r="K37" s="10"/>
      <c r="L37" s="10"/>
      <c r="M37" s="10"/>
      <c r="N37" s="17">
        <f t="shared" si="1"/>
        <v>30873</v>
      </c>
      <c r="O37" s="9" t="s">
        <v>16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9" t="s">
        <v>17</v>
      </c>
      <c r="B38" s="10"/>
      <c r="C38" s="10">
        <v>2560</v>
      </c>
      <c r="D38" s="10">
        <v>2880</v>
      </c>
      <c r="E38" s="10"/>
      <c r="F38" s="10">
        <f>2880</f>
        <v>2880</v>
      </c>
      <c r="G38" s="10">
        <f>3520+3200</f>
        <v>6720</v>
      </c>
      <c r="H38" s="10">
        <v>1440</v>
      </c>
      <c r="I38" s="10"/>
      <c r="J38" s="10"/>
      <c r="K38" s="10"/>
      <c r="L38" s="10">
        <f>6880-3477.52</f>
        <v>3402.48</v>
      </c>
      <c r="M38" s="10">
        <f>2720+3360+3477.52</f>
        <v>9557.52</v>
      </c>
      <c r="N38" s="17">
        <f t="shared" si="1"/>
        <v>29440</v>
      </c>
      <c r="O38" s="9" t="s">
        <v>17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33" customHeight="1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>
        <v>4547.66</v>
      </c>
      <c r="K39" s="10"/>
      <c r="L39" s="10"/>
      <c r="M39" s="10">
        <v>11369.16</v>
      </c>
      <c r="N39" s="17">
        <f t="shared" si="1"/>
        <v>15916.82</v>
      </c>
      <c r="O39" s="9" t="s">
        <v>23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31.5" customHeight="1">
      <c r="A40" s="9" t="s">
        <v>99</v>
      </c>
      <c r="B40" s="10"/>
      <c r="C40" s="10"/>
      <c r="D40" s="10"/>
      <c r="E40" s="10"/>
      <c r="F40" s="10"/>
      <c r="G40" s="10"/>
      <c r="H40" s="10"/>
      <c r="I40" s="10"/>
      <c r="J40" s="10"/>
      <c r="K40" s="10">
        <v>1500</v>
      </c>
      <c r="L40" s="10">
        <v>1500</v>
      </c>
      <c r="M40" s="10">
        <f>1500*2</f>
        <v>3000</v>
      </c>
      <c r="N40" s="17">
        <f aca="true" t="shared" si="4" ref="N40:N76">B40+C40+D40+E40+F40+G40+H40+I40+J40+K40+L40+M40</f>
        <v>6000</v>
      </c>
      <c r="O40" s="9" t="s">
        <v>99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64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260</v>
      </c>
      <c r="N41" s="17">
        <f t="shared" si="4"/>
        <v>260</v>
      </c>
      <c r="O41" s="9" t="s">
        <v>64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0" customHeight="1">
      <c r="A42" s="9" t="s">
        <v>92</v>
      </c>
      <c r="B42" s="10"/>
      <c r="C42" s="10"/>
      <c r="D42" s="10"/>
      <c r="E42" s="10"/>
      <c r="F42" s="10"/>
      <c r="G42" s="10"/>
      <c r="H42" s="10">
        <v>17932.01</v>
      </c>
      <c r="I42" s="10"/>
      <c r="J42" s="10"/>
      <c r="K42" s="10"/>
      <c r="L42" s="10"/>
      <c r="M42" s="10"/>
      <c r="N42" s="17">
        <f t="shared" si="4"/>
        <v>17932.01</v>
      </c>
      <c r="O42" s="9" t="s">
        <v>92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1.5" customHeight="1">
      <c r="A43" s="9" t="s">
        <v>24</v>
      </c>
      <c r="B43" s="10"/>
      <c r="C43" s="10"/>
      <c r="D43" s="10"/>
      <c r="E43" s="10"/>
      <c r="F43" s="10"/>
      <c r="G43" s="10"/>
      <c r="H43" s="10">
        <v>2400</v>
      </c>
      <c r="I43" s="10"/>
      <c r="J43" s="10"/>
      <c r="K43" s="10"/>
      <c r="L43" s="10"/>
      <c r="M43" s="10"/>
      <c r="N43" s="17">
        <f t="shared" si="4"/>
        <v>2400</v>
      </c>
      <c r="O43" s="9" t="s">
        <v>24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28.5" customHeight="1">
      <c r="A44" s="9" t="s">
        <v>28</v>
      </c>
      <c r="B44" s="10"/>
      <c r="C44" s="10"/>
      <c r="D44" s="10"/>
      <c r="E44" s="10"/>
      <c r="F44" s="10"/>
      <c r="G44" s="10"/>
      <c r="H44" s="10">
        <v>2400</v>
      </c>
      <c r="I44" s="10"/>
      <c r="J44" s="10"/>
      <c r="K44" s="10"/>
      <c r="L44" s="10"/>
      <c r="M44" s="10"/>
      <c r="N44" s="17">
        <f t="shared" si="4"/>
        <v>2400</v>
      </c>
      <c r="O44" s="9" t="s">
        <v>28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0" customHeight="1">
      <c r="A45" s="9" t="s">
        <v>91</v>
      </c>
      <c r="B45" s="10"/>
      <c r="C45" s="10"/>
      <c r="D45" s="10"/>
      <c r="E45" s="10"/>
      <c r="F45" s="10"/>
      <c r="G45" s="10"/>
      <c r="H45" s="10">
        <v>2527.96</v>
      </c>
      <c r="I45" s="10"/>
      <c r="J45" s="10"/>
      <c r="K45" s="10"/>
      <c r="L45" s="10"/>
      <c r="M45" s="10"/>
      <c r="N45" s="17">
        <f t="shared" si="4"/>
        <v>2527.96</v>
      </c>
      <c r="O45" s="9" t="s">
        <v>91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43.5" customHeight="1">
      <c r="A46" s="9" t="s">
        <v>69</v>
      </c>
      <c r="B46" s="10"/>
      <c r="C46" s="10"/>
      <c r="D46" s="10"/>
      <c r="E46" s="10"/>
      <c r="F46" s="10">
        <v>22500</v>
      </c>
      <c r="G46" s="10"/>
      <c r="H46" s="10"/>
      <c r="I46" s="10"/>
      <c r="J46" s="10"/>
      <c r="K46" s="10"/>
      <c r="L46" s="10"/>
      <c r="M46" s="10"/>
      <c r="N46" s="17">
        <f t="shared" si="4"/>
        <v>22500</v>
      </c>
      <c r="O46" s="9" t="s">
        <v>69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22.5" customHeight="1">
      <c r="A47" s="9" t="s">
        <v>83</v>
      </c>
      <c r="B47" s="10"/>
      <c r="C47" s="10">
        <v>3000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7">
        <f t="shared" si="4"/>
        <v>3000</v>
      </c>
      <c r="O47" s="9" t="s">
        <v>83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24" customHeight="1">
      <c r="A48" s="9" t="s">
        <v>52</v>
      </c>
      <c r="B48" s="10"/>
      <c r="C48" s="10">
        <v>3720</v>
      </c>
      <c r="D48" s="10"/>
      <c r="E48" s="10"/>
      <c r="F48" s="10">
        <f>3720+3360</f>
        <v>7080</v>
      </c>
      <c r="G48" s="10">
        <f>3600+3720</f>
        <v>7320</v>
      </c>
      <c r="H48" s="10">
        <f>3600+3720</f>
        <v>7320</v>
      </c>
      <c r="I48" s="10"/>
      <c r="J48" s="10">
        <f>3720+1064.76</f>
        <v>4784.76</v>
      </c>
      <c r="K48" s="10">
        <f>2535.24+3720</f>
        <v>6255.24</v>
      </c>
      <c r="L48" s="10"/>
      <c r="M48" s="10">
        <f>3600+3720</f>
        <v>7320</v>
      </c>
      <c r="N48" s="17">
        <f t="shared" si="4"/>
        <v>43800</v>
      </c>
      <c r="O48" s="9" t="s">
        <v>52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33" customHeight="1">
      <c r="A49" s="9" t="s">
        <v>93</v>
      </c>
      <c r="B49" s="10"/>
      <c r="C49" s="10"/>
      <c r="D49" s="10"/>
      <c r="E49" s="10"/>
      <c r="F49" s="10"/>
      <c r="G49" s="10"/>
      <c r="H49" s="10">
        <v>6450</v>
      </c>
      <c r="I49" s="10"/>
      <c r="J49" s="10"/>
      <c r="K49" s="10"/>
      <c r="L49" s="10"/>
      <c r="M49" s="10"/>
      <c r="N49" s="17">
        <f t="shared" si="4"/>
        <v>6450</v>
      </c>
      <c r="O49" s="9" t="s">
        <v>93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7" customHeight="1">
      <c r="A50" s="9" t="s">
        <v>67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1200</v>
      </c>
      <c r="N50" s="17">
        <f t="shared" si="4"/>
        <v>1200</v>
      </c>
      <c r="O50" s="9" t="s">
        <v>67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27" customHeight="1">
      <c r="A51" s="9" t="s">
        <v>84</v>
      </c>
      <c r="B51" s="10"/>
      <c r="C51" s="10"/>
      <c r="D51" s="10"/>
      <c r="E51" s="10"/>
      <c r="F51" s="10"/>
      <c r="G51" s="10">
        <v>11000</v>
      </c>
      <c r="H51" s="10"/>
      <c r="I51" s="10"/>
      <c r="J51" s="10"/>
      <c r="K51" s="10"/>
      <c r="L51" s="10"/>
      <c r="M51" s="10"/>
      <c r="N51" s="17">
        <f t="shared" si="4"/>
        <v>11000</v>
      </c>
      <c r="O51" s="9" t="s">
        <v>84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85</v>
      </c>
      <c r="B52" s="10"/>
      <c r="C52" s="10"/>
      <c r="D52" s="10"/>
      <c r="E52" s="10"/>
      <c r="F52" s="10"/>
      <c r="G52" s="10">
        <v>3750</v>
      </c>
      <c r="H52" s="10"/>
      <c r="I52" s="10"/>
      <c r="J52" s="10"/>
      <c r="K52" s="10"/>
      <c r="L52" s="10"/>
      <c r="M52" s="10"/>
      <c r="N52" s="17">
        <f t="shared" si="4"/>
        <v>3750</v>
      </c>
      <c r="O52" s="9" t="s">
        <v>85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46.5" customHeight="1">
      <c r="A53" s="9" t="s">
        <v>76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4"/>
        <v>0</v>
      </c>
      <c r="O53" s="9" t="s">
        <v>76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8.5" customHeight="1">
      <c r="A54" s="9" t="s">
        <v>70</v>
      </c>
      <c r="B54" s="10"/>
      <c r="C54" s="10"/>
      <c r="D54" s="10"/>
      <c r="E54" s="10"/>
      <c r="F54" s="10">
        <v>6000</v>
      </c>
      <c r="G54" s="10">
        <v>6000</v>
      </c>
      <c r="H54" s="10"/>
      <c r="I54" s="10"/>
      <c r="J54" s="10">
        <v>6000</v>
      </c>
      <c r="K54" s="10">
        <v>6000</v>
      </c>
      <c r="L54" s="10"/>
      <c r="M54" s="10"/>
      <c r="N54" s="17">
        <f t="shared" si="4"/>
        <v>24000</v>
      </c>
      <c r="O54" s="9" t="s">
        <v>70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28.5" customHeight="1">
      <c r="A55" s="9" t="s">
        <v>86</v>
      </c>
      <c r="B55" s="10"/>
      <c r="C55" s="10"/>
      <c r="D55" s="10"/>
      <c r="E55" s="10"/>
      <c r="F55" s="10"/>
      <c r="G55" s="10">
        <v>3000</v>
      </c>
      <c r="H55" s="10"/>
      <c r="I55" s="10"/>
      <c r="J55" s="10"/>
      <c r="K55" s="10"/>
      <c r="L55" s="10"/>
      <c r="M55" s="10"/>
      <c r="N55" s="17">
        <f t="shared" si="4"/>
        <v>3000</v>
      </c>
      <c r="O55" s="9" t="s">
        <v>86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18">
      <c r="A56" s="9" t="s">
        <v>97</v>
      </c>
      <c r="B56" s="10"/>
      <c r="C56" s="10"/>
      <c r="D56" s="10"/>
      <c r="E56" s="10"/>
      <c r="F56" s="10"/>
      <c r="G56" s="10"/>
      <c r="H56" s="10"/>
      <c r="I56" s="10">
        <v>19600</v>
      </c>
      <c r="J56" s="10"/>
      <c r="K56" s="10"/>
      <c r="L56" s="10"/>
      <c r="M56" s="10"/>
      <c r="N56" s="17">
        <f t="shared" si="4"/>
        <v>19600</v>
      </c>
      <c r="O56" s="9" t="s">
        <v>97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36">
      <c r="A57" s="9" t="s">
        <v>66</v>
      </c>
      <c r="B57" s="10"/>
      <c r="C57" s="10"/>
      <c r="D57" s="10"/>
      <c r="E57" s="10"/>
      <c r="F57" s="10">
        <v>7600</v>
      </c>
      <c r="G57" s="10"/>
      <c r="H57" s="10"/>
      <c r="I57" s="10"/>
      <c r="J57" s="10"/>
      <c r="K57" s="10"/>
      <c r="L57" s="10"/>
      <c r="M57" s="10"/>
      <c r="N57" s="17">
        <f t="shared" si="4"/>
        <v>7600</v>
      </c>
      <c r="O57" s="9" t="s">
        <v>66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34.5" customHeight="1">
      <c r="A58" s="13" t="s">
        <v>18</v>
      </c>
      <c r="B58" s="12">
        <f>B59+B60+B61+B62+B63+B64+B65</f>
        <v>56642.07</v>
      </c>
      <c r="C58" s="12">
        <f>C59+C60+C61+C62+C63+C64+C65</f>
        <v>0</v>
      </c>
      <c r="D58" s="12">
        <f>D59+D60+D61+D62+D63+D64+D65</f>
        <v>279</v>
      </c>
      <c r="E58" s="12">
        <f>E59+E60+E61+E62+E63+E64+E65</f>
        <v>55707</v>
      </c>
      <c r="F58" s="12">
        <f aca="true" t="shared" si="5" ref="F58:M58">F59+F60+F61+F62+F63+F64+F65</f>
        <v>0</v>
      </c>
      <c r="G58" s="12">
        <f t="shared" si="5"/>
        <v>0</v>
      </c>
      <c r="H58" s="12">
        <f>H59+H60+H61+H62+H63+H64+H65</f>
        <v>55449</v>
      </c>
      <c r="I58" s="12">
        <f t="shared" si="5"/>
        <v>0</v>
      </c>
      <c r="J58" s="12">
        <f t="shared" si="5"/>
        <v>0</v>
      </c>
      <c r="K58" s="12">
        <f t="shared" si="5"/>
        <v>55236</v>
      </c>
      <c r="L58" s="12">
        <f t="shared" si="5"/>
        <v>36</v>
      </c>
      <c r="M58" s="12">
        <f t="shared" si="5"/>
        <v>15048</v>
      </c>
      <c r="N58" s="17">
        <f t="shared" si="4"/>
        <v>238397.07</v>
      </c>
      <c r="O58" s="13" t="s">
        <v>18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28.5" customHeight="1">
      <c r="A59" s="9" t="s">
        <v>44</v>
      </c>
      <c r="B59" s="10">
        <v>45726</v>
      </c>
      <c r="C59" s="10"/>
      <c r="D59" s="10">
        <v>279</v>
      </c>
      <c r="E59" s="10">
        <v>45673</v>
      </c>
      <c r="F59" s="10"/>
      <c r="G59" s="10"/>
      <c r="H59" s="10">
        <v>45415</v>
      </c>
      <c r="I59" s="10"/>
      <c r="J59" s="10"/>
      <c r="K59" s="10">
        <v>45202</v>
      </c>
      <c r="L59" s="10">
        <v>36</v>
      </c>
      <c r="M59" s="10">
        <v>5015</v>
      </c>
      <c r="N59" s="17">
        <f t="shared" si="4"/>
        <v>187346</v>
      </c>
      <c r="O59" s="9" t="s">
        <v>44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6" customFormat="1" ht="21" customHeight="1">
      <c r="A60" s="9" t="s">
        <v>19</v>
      </c>
      <c r="B60" s="10">
        <v>595</v>
      </c>
      <c r="C60" s="10"/>
      <c r="D60" s="10"/>
      <c r="E60" s="10">
        <v>595</v>
      </c>
      <c r="F60" s="10"/>
      <c r="G60" s="10"/>
      <c r="H60" s="10">
        <v>595</v>
      </c>
      <c r="I60" s="10"/>
      <c r="J60" s="10"/>
      <c r="K60" s="10">
        <v>595</v>
      </c>
      <c r="L60" s="10"/>
      <c r="M60" s="10">
        <v>595</v>
      </c>
      <c r="N60" s="17">
        <f t="shared" si="4"/>
        <v>2975</v>
      </c>
      <c r="O60" s="9" t="s">
        <v>19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5.5" customHeight="1">
      <c r="A61" s="9" t="s">
        <v>20</v>
      </c>
      <c r="B61" s="10">
        <v>9438</v>
      </c>
      <c r="C61" s="10"/>
      <c r="D61" s="10"/>
      <c r="E61" s="10">
        <v>9439</v>
      </c>
      <c r="F61" s="10"/>
      <c r="G61" s="10"/>
      <c r="H61" s="10">
        <v>9439</v>
      </c>
      <c r="I61" s="10"/>
      <c r="J61" s="10"/>
      <c r="K61" s="10">
        <v>9439</v>
      </c>
      <c r="L61" s="10"/>
      <c r="M61" s="10">
        <v>9438</v>
      </c>
      <c r="N61" s="17">
        <f t="shared" si="4"/>
        <v>47193</v>
      </c>
      <c r="O61" s="9" t="s">
        <v>20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7" customHeight="1">
      <c r="A62" s="9" t="s">
        <v>25</v>
      </c>
      <c r="B62" s="10">
        <f>426.83+43.27+412.97</f>
        <v>883.0699999999999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4"/>
        <v>883.0699999999999</v>
      </c>
      <c r="O62" s="9" t="s">
        <v>25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31.5" customHeight="1">
      <c r="A63" s="9" t="s">
        <v>21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4"/>
        <v>0</v>
      </c>
      <c r="O63" s="9" t="s">
        <v>21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4"/>
        <v>0</v>
      </c>
      <c r="O64" s="9" t="s">
        <v>22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9" t="s">
        <v>27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4"/>
        <v>0</v>
      </c>
      <c r="O65" s="9" t="s">
        <v>27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31.5" customHeight="1">
      <c r="A66" s="11" t="s">
        <v>4</v>
      </c>
      <c r="B66" s="12">
        <f aca="true" t="shared" si="6" ref="B66:G66">B67</f>
        <v>0</v>
      </c>
      <c r="C66" s="12">
        <f t="shared" si="6"/>
        <v>0</v>
      </c>
      <c r="D66" s="12">
        <f t="shared" si="6"/>
        <v>0</v>
      </c>
      <c r="E66" s="12">
        <f t="shared" si="6"/>
        <v>0</v>
      </c>
      <c r="F66" s="12">
        <f t="shared" si="6"/>
        <v>0</v>
      </c>
      <c r="G66" s="12">
        <f t="shared" si="6"/>
        <v>0</v>
      </c>
      <c r="H66" s="12">
        <f>H67+H68</f>
        <v>6340</v>
      </c>
      <c r="I66" s="12">
        <f>I67+I68+I70</f>
        <v>33000</v>
      </c>
      <c r="J66" s="12">
        <f>J67+J68</f>
        <v>0</v>
      </c>
      <c r="K66" s="12"/>
      <c r="L66" s="12"/>
      <c r="M66" s="12">
        <f>M67+M68+M69+M70+M71</f>
        <v>0</v>
      </c>
      <c r="N66" s="17">
        <f>B66+C66+D66+E66+F66+G66+H66+I66+J66+K66+L66+M66</f>
        <v>39340</v>
      </c>
      <c r="O66" s="11" t="s">
        <v>4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9" t="s">
        <v>77</v>
      </c>
      <c r="B67" s="10"/>
      <c r="C67" s="10"/>
      <c r="D67" s="10"/>
      <c r="E67" s="10"/>
      <c r="F67" s="10"/>
      <c r="G67" s="10"/>
      <c r="H67" s="10">
        <v>6340</v>
      </c>
      <c r="I67" s="10"/>
      <c r="J67" s="10"/>
      <c r="K67" s="10"/>
      <c r="L67" s="10"/>
      <c r="M67" s="10"/>
      <c r="N67" s="17">
        <f>B67+C67+D67+E67+F67+G67+H67+I67+J67+K67+L67+M67</f>
        <v>6340</v>
      </c>
      <c r="O67" s="9" t="s">
        <v>77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6" customFormat="1" ht="27" customHeight="1">
      <c r="A68" s="9" t="s">
        <v>62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>B68+C68+D68+E68+F68+G68+H68+I68+J68+K68+L68+M68</f>
        <v>0</v>
      </c>
      <c r="O68" s="9" t="s">
        <v>62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27" customHeight="1">
      <c r="A69" s="9" t="s">
        <v>80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>B69+C69+D69+E69+F69+G69+H69+I69+J69+K69+L69+M69</f>
        <v>0</v>
      </c>
      <c r="O69" s="9" t="s">
        <v>80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98</v>
      </c>
      <c r="B70" s="10"/>
      <c r="C70" s="10"/>
      <c r="D70" s="10"/>
      <c r="E70" s="10"/>
      <c r="F70" s="10"/>
      <c r="G70" s="10"/>
      <c r="H70" s="10"/>
      <c r="I70" s="10">
        <v>33000</v>
      </c>
      <c r="J70" s="10"/>
      <c r="K70" s="10"/>
      <c r="L70" s="10"/>
      <c r="M70" s="10"/>
      <c r="N70" s="17">
        <f>B70+C70+D70+E70+F70+G70+H70+I70+J70+K70+L70+M70</f>
        <v>33000</v>
      </c>
      <c r="O70" s="9" t="s">
        <v>98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8.5" customHeight="1">
      <c r="A71" s="9" t="s">
        <v>63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>
        <f t="shared" si="4"/>
        <v>0</v>
      </c>
      <c r="O71" s="9" t="s">
        <v>63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14" customFormat="1" ht="34.5" customHeight="1">
      <c r="A72" s="13" t="s">
        <v>2</v>
      </c>
      <c r="B72" s="12">
        <f>B73+B74+B76+B82+B81</f>
        <v>0</v>
      </c>
      <c r="C72" s="12">
        <f>C73+C74+C76+C82+C81</f>
        <v>73884.7</v>
      </c>
      <c r="D72" s="12">
        <f>D73+D74+D75+D76+D82+D77+D78+D79+D80+D81</f>
        <v>0</v>
      </c>
      <c r="E72" s="12">
        <f>E73+E74+E75+E76+E82+E77+E78+E79+E80+E81</f>
        <v>46753.729999999996</v>
      </c>
      <c r="F72" s="12">
        <f>F73+F74+F75+F76+F82+F77+F78+F79+F80+F81</f>
        <v>104842.79999999999</v>
      </c>
      <c r="G72" s="12">
        <f>G73+G74+G75+G76+G82+G77+G78+G79+G80+G81</f>
        <v>108689.12</v>
      </c>
      <c r="H72" s="12">
        <f>H73+H74+H75+H76+H77+H78+H79+H80+H81+H82</f>
        <v>8812.5</v>
      </c>
      <c r="I72" s="12">
        <f>I73+I74+I76+I82+I81+I75+I79</f>
        <v>0</v>
      </c>
      <c r="J72" s="12">
        <f>J73+J74+J76+J82+J80+J81+J78+J75</f>
        <v>8808.33</v>
      </c>
      <c r="K72" s="12">
        <f>K73+K74+K76+K82+K80+K81+K78+K75</f>
        <v>32197</v>
      </c>
      <c r="L72" s="12">
        <f>L73+L74+L76+L82+L80+L81+L78+L75</f>
        <v>0</v>
      </c>
      <c r="M72" s="12">
        <f>M73+M74+M75+M76+M77+M78+M79+M80+M81+M82</f>
        <v>100807</v>
      </c>
      <c r="N72" s="17">
        <f>B72+C72+D72+E72+F72+G72+H72+I72+J72+K72+L72+M72</f>
        <v>484795.18</v>
      </c>
      <c r="O72" s="13" t="s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9" t="s">
        <v>26</v>
      </c>
      <c r="B73" s="10"/>
      <c r="C73" s="10">
        <v>27010</v>
      </c>
      <c r="D73" s="10"/>
      <c r="E73" s="10">
        <v>29893.5</v>
      </c>
      <c r="F73" s="10">
        <f>30185.5</f>
        <v>30185.5</v>
      </c>
      <c r="G73" s="10">
        <f>29200+46500</f>
        <v>75700</v>
      </c>
      <c r="H73" s="10">
        <v>8812.5</v>
      </c>
      <c r="I73" s="10"/>
      <c r="J73" s="10"/>
      <c r="K73" s="10">
        <v>27322</v>
      </c>
      <c r="L73" s="10"/>
      <c r="M73" s="10">
        <f>32487+39000+27612</f>
        <v>99099</v>
      </c>
      <c r="N73" s="17">
        <f t="shared" si="4"/>
        <v>298022.5</v>
      </c>
      <c r="O73" s="9" t="s">
        <v>26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customHeight="1">
      <c r="A74" s="9" t="s">
        <v>32</v>
      </c>
      <c r="B74" s="10"/>
      <c r="C74" s="10">
        <f>2790+186+1872.8+3728+1500+540+333.5+64+2383.8+2450+480+725.5+4466+3810+576+64+765+2546.1+96+1185+904+2858+1500+1831+475+640+245</f>
        <v>39014.7</v>
      </c>
      <c r="D74" s="10"/>
      <c r="E74" s="10">
        <f>475+360+1020+6666+1479</f>
        <v>10000</v>
      </c>
      <c r="F74" s="10">
        <f>1320+198+1881+960+1109+4951+144+1738+756.2+910+1835.9+1610+3000+7515+1495.9+1388.5+392.3+260+8954+1120+1925+715+1120+550+3320+1500+937.5+6930.2+1995.2+1400+1032.2+80+275+2050+52.9</f>
        <v>65421.799999999996</v>
      </c>
      <c r="G74" s="10">
        <f>2240+200+325+260+640+1386+1400+630+1338.7+1400+705+988.2+2439+225+260+630+1400+825+660+750+4522.49+945.5+160+664</f>
        <v>24993.89</v>
      </c>
      <c r="H74" s="10"/>
      <c r="I74" s="10"/>
      <c r="J74" s="10"/>
      <c r="K74" s="10"/>
      <c r="L74" s="10"/>
      <c r="M74" s="10"/>
      <c r="N74" s="17">
        <f t="shared" si="4"/>
        <v>139430.39</v>
      </c>
      <c r="O74" s="9" t="s">
        <v>32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9" t="s">
        <v>56</v>
      </c>
      <c r="B75" s="10"/>
      <c r="C75" s="10"/>
      <c r="D75" s="10"/>
      <c r="E75" s="10"/>
      <c r="F75" s="10"/>
      <c r="G75" s="10">
        <v>1020</v>
      </c>
      <c r="H75" s="10"/>
      <c r="I75" s="10"/>
      <c r="J75" s="10"/>
      <c r="K75" s="10"/>
      <c r="L75" s="10"/>
      <c r="M75" s="10"/>
      <c r="N75" s="17">
        <f t="shared" si="4"/>
        <v>1020</v>
      </c>
      <c r="O75" s="9" t="s">
        <v>56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9.25" customHeight="1">
      <c r="A76" s="9" t="s">
        <v>72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7">
        <f t="shared" si="4"/>
        <v>0</v>
      </c>
      <c r="O76" s="9" t="s">
        <v>72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9.25" customHeight="1">
      <c r="A77" s="9" t="s">
        <v>75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aca="true" t="shared" si="7" ref="N77:N82">B77+C77+D77+E77+F77+G77+H77+I77+J77+K77+L77+M77</f>
        <v>0</v>
      </c>
      <c r="O77" s="9" t="s">
        <v>75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79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>
        <f t="shared" si="7"/>
        <v>0</v>
      </c>
      <c r="O78" s="9" t="s">
        <v>79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96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t="shared" si="7"/>
        <v>0</v>
      </c>
      <c r="O79" s="9" t="s">
        <v>96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>
      <c r="A80" s="9" t="s">
        <v>78</v>
      </c>
      <c r="B80" s="10"/>
      <c r="C80" s="10"/>
      <c r="D80" s="10"/>
      <c r="E80" s="10"/>
      <c r="F80" s="10"/>
      <c r="G80" s="10"/>
      <c r="H80" s="10"/>
      <c r="I80" s="10"/>
      <c r="J80" s="10"/>
      <c r="K80" s="10">
        <v>4875</v>
      </c>
      <c r="L80" s="10"/>
      <c r="M80" s="10">
        <v>1708</v>
      </c>
      <c r="N80" s="17">
        <f t="shared" si="7"/>
        <v>6583</v>
      </c>
      <c r="O80" s="9" t="s">
        <v>78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>
      <c r="A81" s="9" t="s">
        <v>59</v>
      </c>
      <c r="B81" s="10"/>
      <c r="C81" s="10">
        <v>7860</v>
      </c>
      <c r="D81" s="10"/>
      <c r="E81" s="10"/>
      <c r="F81" s="10">
        <v>9235.5</v>
      </c>
      <c r="G81" s="10"/>
      <c r="H81" s="10"/>
      <c r="I81" s="10"/>
      <c r="J81" s="10"/>
      <c r="K81" s="10"/>
      <c r="L81" s="10"/>
      <c r="M81" s="10"/>
      <c r="N81" s="17">
        <f t="shared" si="7"/>
        <v>17095.5</v>
      </c>
      <c r="O81" s="9" t="s">
        <v>59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9" t="s">
        <v>37</v>
      </c>
      <c r="B82" s="10"/>
      <c r="C82" s="10"/>
      <c r="D82" s="10"/>
      <c r="E82" s="10">
        <v>6860.23</v>
      </c>
      <c r="F82" s="10"/>
      <c r="G82" s="10">
        <f>785+6190.23</f>
        <v>6975.23</v>
      </c>
      <c r="H82" s="10"/>
      <c r="I82" s="10"/>
      <c r="J82" s="10">
        <v>8808.33</v>
      </c>
      <c r="K82" s="10"/>
      <c r="L82" s="10"/>
      <c r="M82" s="10"/>
      <c r="N82" s="17">
        <f t="shared" si="7"/>
        <v>22643.79</v>
      </c>
      <c r="O82" s="9" t="s">
        <v>37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4" customFormat="1" ht="34.5" customHeight="1">
      <c r="A83" s="13" t="s">
        <v>3</v>
      </c>
      <c r="B83" s="12">
        <f aca="true" t="shared" si="8" ref="B83:H83">B4+B7+B9+B10+B17+B36+B58+B66+B72</f>
        <v>116654.54000000001</v>
      </c>
      <c r="C83" s="12">
        <f t="shared" si="8"/>
        <v>470932.51</v>
      </c>
      <c r="D83" s="12">
        <f t="shared" si="8"/>
        <v>290274.63</v>
      </c>
      <c r="E83" s="12">
        <f t="shared" si="8"/>
        <v>369622.02999999997</v>
      </c>
      <c r="F83" s="12">
        <f t="shared" si="8"/>
        <v>421436.58999999997</v>
      </c>
      <c r="G83" s="12">
        <f t="shared" si="8"/>
        <v>384485.37</v>
      </c>
      <c r="H83" s="12">
        <f t="shared" si="8"/>
        <v>252277</v>
      </c>
      <c r="I83" s="12">
        <f>I4+I7+I9+I10+I17+I36+I58+I66+I72</f>
        <v>111207.12</v>
      </c>
      <c r="J83" s="12">
        <f>J4+J7+J9+J10+J17+J36+J58+J66+J72</f>
        <v>130652.9</v>
      </c>
      <c r="K83" s="12">
        <f>K4+K7+K9+K10+K17+K36+K58+K66+K72</f>
        <v>221333.37</v>
      </c>
      <c r="L83" s="12">
        <f>L4+L7+L8+L9+L10+L17+L36+L58+L66+L72</f>
        <v>184389.81000000003</v>
      </c>
      <c r="M83" s="12">
        <f>M4+M7+M8+M9+M10+M17+M36+M58+M66+M72</f>
        <v>818834.13</v>
      </c>
      <c r="N83" s="12">
        <f>N4+N7+N8+N9+N10+N17+N36+N58+N66+N72</f>
        <v>3772100</v>
      </c>
      <c r="O83" s="13" t="s">
        <v>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4" customFormat="1" ht="34.5" customHeight="1">
      <c r="A84" s="13" t="s">
        <v>57</v>
      </c>
      <c r="B84" s="12">
        <f>60000+78979.67</f>
        <v>138979.66999999998</v>
      </c>
      <c r="C84" s="12">
        <f>117000+331607.38</f>
        <v>448607.38</v>
      </c>
      <c r="D84" s="12">
        <f>91000+199274.63</f>
        <v>290274.63</v>
      </c>
      <c r="E84" s="12">
        <f>118000+372839.48</f>
        <v>490839.48</v>
      </c>
      <c r="F84" s="12">
        <f>144000+156219.14</f>
        <v>300219.14</v>
      </c>
      <c r="G84" s="12">
        <f>160000+224485.37</f>
        <v>384485.37</v>
      </c>
      <c r="H84" s="12">
        <f>56700+197090.76</f>
        <v>253790.76</v>
      </c>
      <c r="I84" s="12">
        <f>52000+57693.36</f>
        <v>109693.36</v>
      </c>
      <c r="J84" s="12">
        <f>80000+50652.9</f>
        <v>130652.9</v>
      </c>
      <c r="K84" s="12">
        <f>80000+141333.37</f>
        <v>221333.37</v>
      </c>
      <c r="L84" s="12">
        <f>80000+104389.81</f>
        <v>184389.81</v>
      </c>
      <c r="M84" s="12">
        <f>182300+636534.13</f>
        <v>818834.13</v>
      </c>
      <c r="N84" s="12">
        <f>SUM(B84:M84)</f>
        <v>3772100.0000000005</v>
      </c>
      <c r="O84" s="13" t="s">
        <v>57</v>
      </c>
      <c r="P84" s="24" t="e">
        <f>O84-N84</f>
        <v>#VALUE!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58</v>
      </c>
      <c r="B85" s="12">
        <f>B84-B83</f>
        <v>22325.129999999976</v>
      </c>
      <c r="C85" s="12">
        <f>B85+C84-C83</f>
        <v>0</v>
      </c>
      <c r="D85" s="12">
        <f>C85+D84-D83</f>
        <v>0</v>
      </c>
      <c r="E85" s="12">
        <f>D85+E84-E83</f>
        <v>121217.45000000001</v>
      </c>
      <c r="F85" s="12">
        <f>E85+F84-F83</f>
        <v>0</v>
      </c>
      <c r="G85" s="12">
        <f>F85+G84-G83</f>
        <v>0</v>
      </c>
      <c r="H85" s="12">
        <f aca="true" t="shared" si="9" ref="H85:M85">G85+H84-H83</f>
        <v>1513.7600000000093</v>
      </c>
      <c r="I85" s="12">
        <f>H85+I84-I83</f>
        <v>0</v>
      </c>
      <c r="J85" s="12">
        <f t="shared" si="9"/>
        <v>0</v>
      </c>
      <c r="K85" s="12">
        <f t="shared" si="9"/>
        <v>0</v>
      </c>
      <c r="L85" s="12">
        <f t="shared" si="9"/>
        <v>0</v>
      </c>
      <c r="M85" s="12">
        <f t="shared" si="9"/>
        <v>0</v>
      </c>
      <c r="N85" s="12">
        <f>N84-N83</f>
        <v>0</v>
      </c>
      <c r="O85" s="13" t="s">
        <v>58</v>
      </c>
      <c r="P85" s="35"/>
      <c r="Q85" s="1"/>
      <c r="R85" s="1"/>
      <c r="S85" s="1"/>
      <c r="T85" s="1"/>
      <c r="U85" s="1"/>
      <c r="V85" s="1"/>
      <c r="W85" s="1"/>
      <c r="X85" s="1"/>
      <c r="Y85" s="1"/>
    </row>
    <row r="86" spans="1:14" ht="18">
      <c r="A86" s="7" t="s">
        <v>33</v>
      </c>
      <c r="B86" s="3" t="s">
        <v>34</v>
      </c>
      <c r="D86" s="19"/>
      <c r="G86" s="19"/>
      <c r="H86" s="19"/>
      <c r="J86" s="19"/>
      <c r="K86" s="19"/>
      <c r="L86" s="19"/>
      <c r="M86" s="19"/>
      <c r="N86" s="19"/>
    </row>
    <row r="87" spans="3:14" ht="18">
      <c r="C87" s="19"/>
      <c r="D87" s="19"/>
      <c r="G87" s="19"/>
      <c r="I87" s="19"/>
      <c r="N87" s="19"/>
    </row>
    <row r="88" spans="1:13" ht="18">
      <c r="A88" s="7" t="s">
        <v>35</v>
      </c>
      <c r="B88" s="3" t="s">
        <v>36</v>
      </c>
      <c r="G88" s="19"/>
      <c r="H88" s="19"/>
      <c r="I88" s="19"/>
      <c r="J88" s="19"/>
      <c r="K88" s="19"/>
      <c r="L88" s="19"/>
      <c r="M88" s="19"/>
    </row>
    <row r="90" spans="13:14" ht="18">
      <c r="M90" s="19"/>
      <c r="N90" s="19"/>
    </row>
    <row r="91" spans="13:14" ht="18">
      <c r="M91" s="19"/>
      <c r="N91" s="19"/>
    </row>
    <row r="92" spans="13:14" ht="18">
      <c r="M92" s="19"/>
      <c r="N92" s="19"/>
    </row>
    <row r="93" spans="13:14" ht="18">
      <c r="M93" s="19"/>
      <c r="N93" s="19"/>
    </row>
    <row r="94" spans="13:16" ht="18">
      <c r="M94" s="19"/>
      <c r="N94" s="19"/>
      <c r="P94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2017-09-01T08:41:05Z</cp:lastPrinted>
  <dcterms:created xsi:type="dcterms:W3CDTF">1996-10-08T23:32:33Z</dcterms:created>
  <dcterms:modified xsi:type="dcterms:W3CDTF">2018-01-07T17:33:53Z</dcterms:modified>
  <cp:category/>
  <cp:version/>
  <cp:contentType/>
  <cp:contentStatus/>
</cp:coreProperties>
</file>